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svg" ContentType="image/svg+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drawings/drawing3.xml" ContentType="application/vnd.openxmlformats-officedocument.drawing+xml"/>
  <Override PartName="/xl/charts/chart2.xml" ContentType="application/vnd.openxmlformats-officedocument.drawingml.chart+xml"/>
  <Override PartName="/xl/charts/style1.xml" ContentType="application/vnd.ms-office.chartstyle+xml"/>
  <Override PartName="/xl/charts/colors1.xml" ContentType="application/vnd.ms-office.chartcolorstyle+xml"/>
  <Override PartName="/xl/charts/chart3.xml" ContentType="application/vnd.openxmlformats-officedocument.drawingml.chart+xml"/>
  <Override PartName="/xl/drawings/drawing4.xml" ContentType="application/vnd.openxmlformats-officedocument.drawing+xml"/>
  <Override PartName="/xl/charts/chart4.xml" ContentType="application/vnd.openxmlformats-officedocument.drawingml.chart+xml"/>
  <Override PartName="/xl/drawings/drawing5.xml" ContentType="application/vnd.openxmlformats-officedocument.drawing+xml"/>
  <Override PartName="/xl/charts/chart5.xml" ContentType="application/vnd.openxmlformats-officedocument.drawingml.chart+xml"/>
  <Override PartName="/xl/drawings/drawing6.xml" ContentType="application/vnd.openxmlformats-officedocument.drawing+xml"/>
  <Override PartName="/xl/charts/chart6.xml" ContentType="application/vnd.openxmlformats-officedocument.drawingml.chart+xml"/>
  <Override PartName="/xl/drawings/drawing7.xml" ContentType="application/vnd.openxmlformats-officedocument.drawing+xml"/>
  <Override PartName="/xl/charts/chart7.xml" ContentType="application/vnd.openxmlformats-officedocument.drawingml.chart+xml"/>
  <Override PartName="/xl/drawings/drawing8.xml" ContentType="application/vnd.openxmlformats-officedocument.drawing+xml"/>
  <Override PartName="/xl/comments1.xml" ContentType="application/vnd.openxmlformats-officedocument.spreadsheetml.comments+xml"/>
  <Override PartName="/xl/charts/chart8.xml" ContentType="application/vnd.openxmlformats-officedocument.drawingml.chart+xml"/>
  <Override PartName="/xl/charts/chart9.xml" ContentType="application/vnd.openxmlformats-officedocument.drawingml.chart+xml"/>
  <Override PartName="/xl/charts/style2.xml" ContentType="application/vnd.ms-office.chartstyle+xml"/>
  <Override PartName="/xl/charts/colors2.xml" ContentType="application/vnd.ms-office.chartcolorstyle+xml"/>
  <Override PartName="/xl/drawings/drawing9.xml" ContentType="application/vnd.openxmlformats-officedocument.drawing+xml"/>
  <Override PartName="/xl/charts/chart10.xml" ContentType="application/vnd.openxmlformats-officedocument.drawingml.chart+xml"/>
  <Override PartName="/xl/drawings/drawing10.xml" ContentType="application/vnd.openxmlformats-officedocument.drawing+xml"/>
  <Override PartName="/xl/comments2.xml" ContentType="application/vnd.openxmlformats-officedocument.spreadsheetml.comments+xml"/>
  <Override PartName="/xl/charts/chart11.xml" ContentType="application/vnd.openxmlformats-officedocument.drawingml.chart+xml"/>
  <Override PartName="/xl/charts/chart12.xml" ContentType="application/vnd.openxmlformats-officedocument.drawingml.chart+xml"/>
  <Override PartName="/xl/charts/style3.xml" ContentType="application/vnd.ms-office.chartstyle+xml"/>
  <Override PartName="/xl/charts/colors3.xml" ContentType="application/vnd.ms-office.chartcolorstyle+xml"/>
  <Override PartName="/xl/drawings/drawing11.xml" ContentType="application/vnd.openxmlformats-officedocument.drawing+xml"/>
  <Override PartName="/xl/comments3.xml" ContentType="application/vnd.openxmlformats-officedocument.spreadsheetml.comments+xml"/>
  <Override PartName="/xl/charts/chart13.xml" ContentType="application/vnd.openxmlformats-officedocument.drawingml.chart+xml"/>
  <Override PartName="/xl/charts/chart1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12.xml" ContentType="application/vnd.openxmlformats-officedocument.drawing+xml"/>
  <Override PartName="/xl/comments4.xml" ContentType="application/vnd.openxmlformats-officedocument.spreadsheetml.comments+xml"/>
  <Override PartName="/xl/charts/chart15.xml" ContentType="application/vnd.openxmlformats-officedocument.drawingml.chart+xml"/>
  <Override PartName="/xl/charts/chart16.xml" ContentType="application/vnd.openxmlformats-officedocument.drawingml.chart+xml"/>
  <Override PartName="/xl/charts/style5.xml" ContentType="application/vnd.ms-office.chartstyle+xml"/>
  <Override PartName="/xl/charts/colors5.xml" ContentType="application/vnd.ms-office.chartcolorstyle+xml"/>
  <Override PartName="/xl/drawings/drawing13.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comments5.xml" ContentType="application/vnd.openxmlformats-officedocument.spreadsheetml.comments+xml"/>
  <Override PartName="/xl/charts/chart17.xml" ContentType="application/vnd.openxmlformats-officedocument.drawingml.chart+xml"/>
  <Override PartName="/xl/charts/style6.xml" ContentType="application/vnd.ms-office.chartstyle+xml"/>
  <Override PartName="/xl/charts/colors6.xml" ContentType="application/vnd.ms-office.chartcolorstyle+xml"/>
  <Override PartName="/xl/drawings/drawing14.xml" ContentType="application/vnd.openxmlformats-officedocument.drawing+xml"/>
  <Override PartName="/xl/tables/table3.xml" ContentType="application/vnd.openxmlformats-officedocument.spreadsheetml.table+xml"/>
  <Override PartName="/xl/comments6.xml" ContentType="application/vnd.openxmlformats-officedocument.spreadsheetml.comments+xml"/>
  <Override PartName="/xl/drawings/drawing15.xml" ContentType="application/vnd.openxmlformats-officedocument.drawing+xml"/>
  <Override PartName="/xl/persons/person.xml" ContentType="application/vnd.ms-excel.person+xml"/>
  <Override PartName="/xl/calcChain.xml" ContentType="application/vnd.openxmlformats-officedocument.spreadsheetml.calcChain+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426"/>
  <workbookPr/>
  <mc:AlternateContent xmlns:mc="http://schemas.openxmlformats.org/markup-compatibility/2006">
    <mc:Choice Requires="x15">
      <x15ac:absPath xmlns:x15ac="http://schemas.microsoft.com/office/spreadsheetml/2010/11/ac" url="https://myjunia-my.sharepoint.com/personal/david_mele_junia_com/Documents/Documents/6- Brassage/"/>
    </mc:Choice>
  </mc:AlternateContent>
  <xr:revisionPtr revIDLastSave="0" documentId="8_{72479135-F45F-4B45-8957-3CA390F080F6}" xr6:coauthVersionLast="47" xr6:coauthVersionMax="47" xr10:uidLastSave="{00000000-0000-0000-0000-000000000000}"/>
  <bookViews>
    <workbookView xWindow="-120" yWindow="-120" windowWidth="29040" windowHeight="15720" tabRatio="606" xr2:uid="{00000000-000D-0000-FFFF-FFFF00000000}"/>
  </bookViews>
  <sheets>
    <sheet name="HOME PAGE" sheetId="24" r:id="rId1"/>
    <sheet name="SMASH" sheetId="13" r:id="rId2"/>
    <sheet name="FAUVE" sheetId="1" r:id="rId3"/>
    <sheet name="ChouffLeurre" sheetId="14" r:id="rId4"/>
    <sheet name="HOPI NEW YEAR" sheetId="9" r:id="rId5"/>
    <sheet name="WEDDING BREW" sheetId="11" r:id="rId6"/>
    <sheet name="May the FAUVE" sheetId="10" r:id="rId7"/>
    <sheet name="A NEW HOP" sheetId="19" r:id="rId8"/>
    <sheet name="TYTYMUT" sheetId="15" r:id="rId9"/>
    <sheet name="CHAUVIN" sheetId="17" r:id="rId10"/>
    <sheet name="DUVEL 40ans" sheetId="20" r:id="rId11"/>
    <sheet name="Carrot Wheat beer" sheetId="22" r:id="rId12"/>
    <sheet name="INGREDIENTS" sheetId="3" r:id="rId13"/>
    <sheet name="STYLES" sheetId="18" r:id="rId14"/>
    <sheet name="Convertisseur" sheetId="7" r:id="rId15"/>
  </sheets>
  <definedNames>
    <definedName name="_xlnm.Print_Area" localSheetId="7">'A NEW HOP'!$A$1:$H$58</definedName>
    <definedName name="_xlnm.Print_Area" localSheetId="11">'Carrot Wheat beer'!$A$1:$H$58</definedName>
    <definedName name="_xlnm.Print_Area" localSheetId="9">CHAUVIN!$A$1:$H$58</definedName>
    <definedName name="_xlnm.Print_Area" localSheetId="10">'DUVEL 40ans'!$A$1:$H$61</definedName>
    <definedName name="_xlnm.Print_Area" localSheetId="8">TYTYMUT!$A$1:$G$50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21" i="22" l="1"/>
  <c r="G21" i="20"/>
  <c r="H11" i="22"/>
  <c r="H12" i="22"/>
  <c r="H13" i="22"/>
  <c r="H14" i="22"/>
  <c r="H15" i="22"/>
  <c r="H16" i="22"/>
  <c r="H17" i="22"/>
  <c r="H18" i="22"/>
  <c r="H19" i="22"/>
  <c r="H10" i="22"/>
  <c r="D17" i="14"/>
  <c r="E17" i="14"/>
  <c r="C17" i="14"/>
  <c r="C11" i="14"/>
  <c r="D11" i="14"/>
  <c r="E11" i="14"/>
  <c r="C12" i="14"/>
  <c r="D12" i="14"/>
  <c r="E12" i="14"/>
  <c r="C13" i="14"/>
  <c r="D13" i="14"/>
  <c r="E13" i="14"/>
  <c r="C14" i="14"/>
  <c r="D14" i="14"/>
  <c r="E14" i="14"/>
  <c r="C15" i="14"/>
  <c r="D15" i="14"/>
  <c r="E15" i="14"/>
  <c r="E10" i="14"/>
  <c r="D10" i="14"/>
  <c r="C10" i="14"/>
  <c r="C11" i="1"/>
  <c r="D11" i="1"/>
  <c r="E11" i="1"/>
  <c r="C12" i="1"/>
  <c r="D12" i="1"/>
  <c r="E12" i="1"/>
  <c r="E10" i="1"/>
  <c r="D10" i="1"/>
  <c r="C10" i="1"/>
  <c r="E16" i="9"/>
  <c r="D16" i="9"/>
  <c r="C16" i="9"/>
  <c r="C11" i="9"/>
  <c r="D11" i="9"/>
  <c r="E11" i="9"/>
  <c r="C12" i="9"/>
  <c r="D12" i="9"/>
  <c r="E12" i="9"/>
  <c r="C13" i="9"/>
  <c r="D13" i="9"/>
  <c r="E13" i="9"/>
  <c r="C14" i="9"/>
  <c r="D14" i="9"/>
  <c r="E14" i="9"/>
  <c r="C15" i="9"/>
  <c r="D15" i="9"/>
  <c r="E15" i="9"/>
  <c r="E10" i="9"/>
  <c r="D10" i="9"/>
  <c r="C10" i="9"/>
  <c r="E16" i="11"/>
  <c r="D16" i="11"/>
  <c r="C16" i="11"/>
  <c r="C11" i="11"/>
  <c r="D11" i="11"/>
  <c r="E11" i="11"/>
  <c r="C12" i="11"/>
  <c r="D12" i="11"/>
  <c r="E12" i="11"/>
  <c r="C13" i="11"/>
  <c r="D13" i="11"/>
  <c r="E13" i="11"/>
  <c r="C14" i="11"/>
  <c r="D14" i="11"/>
  <c r="E14" i="11"/>
  <c r="C15" i="11"/>
  <c r="D15" i="11"/>
  <c r="E15" i="11"/>
  <c r="E10" i="11"/>
  <c r="D10" i="11"/>
  <c r="C10" i="11"/>
  <c r="E16" i="10"/>
  <c r="D16" i="10"/>
  <c r="C16" i="10"/>
  <c r="C11" i="10"/>
  <c r="D11" i="10"/>
  <c r="E11" i="10"/>
  <c r="C12" i="10"/>
  <c r="D12" i="10"/>
  <c r="E12" i="10"/>
  <c r="E10" i="10"/>
  <c r="D10" i="10"/>
  <c r="C10" i="10"/>
  <c r="E11" i="19"/>
  <c r="F11" i="19"/>
  <c r="G11" i="19"/>
  <c r="H11" i="19"/>
  <c r="E12" i="19"/>
  <c r="F12" i="19"/>
  <c r="G12" i="19"/>
  <c r="H12" i="19"/>
  <c r="E13" i="19"/>
  <c r="F13" i="19"/>
  <c r="G13" i="19"/>
  <c r="H13" i="19"/>
  <c r="E14" i="19"/>
  <c r="F14" i="19"/>
  <c r="G14" i="19"/>
  <c r="H14" i="19"/>
  <c r="E15" i="19"/>
  <c r="F15" i="19"/>
  <c r="G15" i="19"/>
  <c r="H15" i="19"/>
  <c r="E16" i="19"/>
  <c r="F16" i="19"/>
  <c r="G16" i="19"/>
  <c r="H16" i="19"/>
  <c r="E17" i="19"/>
  <c r="F17" i="19"/>
  <c r="G17" i="19"/>
  <c r="H17" i="19"/>
  <c r="E18" i="19"/>
  <c r="F18" i="19"/>
  <c r="G18" i="19"/>
  <c r="H18" i="19"/>
  <c r="E19" i="19"/>
  <c r="F19" i="19"/>
  <c r="G19" i="19"/>
  <c r="H19" i="19"/>
  <c r="E10" i="19"/>
  <c r="H10" i="19"/>
  <c r="F10" i="19"/>
  <c r="G10" i="19"/>
  <c r="E16" i="15"/>
  <c r="E11" i="15"/>
  <c r="E12" i="15"/>
  <c r="E13" i="15"/>
  <c r="E14" i="15"/>
  <c r="E15" i="15"/>
  <c r="E10" i="15"/>
  <c r="G11" i="17"/>
  <c r="H11" i="17"/>
  <c r="G12" i="17"/>
  <c r="H12" i="17"/>
  <c r="G13" i="17"/>
  <c r="H13" i="17"/>
  <c r="G14" i="17"/>
  <c r="H14" i="17"/>
  <c r="G15" i="17"/>
  <c r="H15" i="17"/>
  <c r="G16" i="17"/>
  <c r="H16" i="17"/>
  <c r="G17" i="17"/>
  <c r="H17" i="17"/>
  <c r="G18" i="17"/>
  <c r="H18" i="17"/>
  <c r="G19" i="17"/>
  <c r="H19" i="17"/>
  <c r="H10" i="17"/>
  <c r="G10" i="17"/>
  <c r="H11" i="20"/>
  <c r="H12" i="20"/>
  <c r="H13" i="20"/>
  <c r="H14" i="20"/>
  <c r="H15" i="20"/>
  <c r="H16" i="20"/>
  <c r="H17" i="20"/>
  <c r="H18" i="20"/>
  <c r="H19" i="20"/>
  <c r="H10" i="20"/>
  <c r="G20" i="20"/>
  <c r="G11" i="20"/>
  <c r="G12" i="20"/>
  <c r="G13" i="20"/>
  <c r="G14" i="20"/>
  <c r="G15" i="20"/>
  <c r="G16" i="20"/>
  <c r="G17" i="20"/>
  <c r="G18" i="20"/>
  <c r="G19" i="20"/>
  <c r="G10" i="20"/>
  <c r="G11" i="22"/>
  <c r="G12" i="22"/>
  <c r="G13" i="22"/>
  <c r="G14" i="22"/>
  <c r="G15" i="22"/>
  <c r="G16" i="22"/>
  <c r="G17" i="22"/>
  <c r="G18" i="22"/>
  <c r="G19" i="22"/>
  <c r="G10" i="22"/>
  <c r="N54" i="22"/>
  <c r="B23" i="22"/>
  <c r="H23" i="22" s="1"/>
  <c r="B22" i="22"/>
  <c r="G22" i="22" s="1"/>
  <c r="G58" i="22"/>
  <c r="F58" i="22"/>
  <c r="E58" i="22"/>
  <c r="N57" i="22"/>
  <c r="L57" i="22"/>
  <c r="P59" i="22" s="1"/>
  <c r="G57" i="22"/>
  <c r="F57" i="22"/>
  <c r="E57" i="22"/>
  <c r="G56" i="22"/>
  <c r="F56" i="22"/>
  <c r="E56" i="22"/>
  <c r="G55" i="22"/>
  <c r="M53" i="22" s="1"/>
  <c r="F55" i="22"/>
  <c r="E55" i="22"/>
  <c r="N53" i="22"/>
  <c r="F52" i="22" a="1"/>
  <c r="F52" i="22" s="1"/>
  <c r="C52" i="22"/>
  <c r="G51" i="22"/>
  <c r="G50" i="22"/>
  <c r="G49" i="22"/>
  <c r="G48" i="22"/>
  <c r="G47" i="22"/>
  <c r="T46" i="22"/>
  <c r="T47" i="22" s="1"/>
  <c r="G46" i="22"/>
  <c r="G45" i="22"/>
  <c r="G44" i="22"/>
  <c r="G43" i="22"/>
  <c r="G42" i="22"/>
  <c r="G41" i="22"/>
  <c r="G40" i="22"/>
  <c r="G39" i="22"/>
  <c r="AA38" i="22"/>
  <c r="G38" i="22"/>
  <c r="AA37" i="22"/>
  <c r="G37" i="22"/>
  <c r="AA36" i="22"/>
  <c r="G36" i="22"/>
  <c r="AA35" i="22"/>
  <c r="AA34" i="22"/>
  <c r="AA33" i="22"/>
  <c r="AA32" i="22"/>
  <c r="U28" i="22"/>
  <c r="U38" i="22" s="1"/>
  <c r="U39" i="22" s="1"/>
  <c r="C26" i="22"/>
  <c r="D17" i="22" s="1"/>
  <c r="C25" i="22"/>
  <c r="P24" i="22"/>
  <c r="C24" i="22"/>
  <c r="U23" i="22"/>
  <c r="T23" i="22"/>
  <c r="T28" i="22" s="1"/>
  <c r="T38" i="22" s="1"/>
  <c r="T39" i="22" s="1"/>
  <c r="N23" i="22"/>
  <c r="H21" i="22"/>
  <c r="F21" i="22"/>
  <c r="E21" i="22"/>
  <c r="B20" i="22"/>
  <c r="G20" i="22" s="1"/>
  <c r="F19" i="22"/>
  <c r="E19" i="22"/>
  <c r="F18" i="22"/>
  <c r="E18" i="22"/>
  <c r="F17" i="22"/>
  <c r="E17" i="22"/>
  <c r="F16" i="22"/>
  <c r="E16" i="22"/>
  <c r="F15" i="22"/>
  <c r="E15" i="22"/>
  <c r="F14" i="22"/>
  <c r="E14" i="22"/>
  <c r="X13" i="22"/>
  <c r="W13" i="22"/>
  <c r="V13" i="22"/>
  <c r="U13" i="22"/>
  <c r="T13" i="22"/>
  <c r="S13" i="22"/>
  <c r="F13" i="22"/>
  <c r="E13" i="22"/>
  <c r="X12" i="22"/>
  <c r="W12" i="22"/>
  <c r="V12" i="22"/>
  <c r="U12" i="22"/>
  <c r="T12" i="22"/>
  <c r="S12" i="22"/>
  <c r="F12" i="22"/>
  <c r="E12" i="22"/>
  <c r="F11" i="22"/>
  <c r="E11" i="22"/>
  <c r="Z10" i="22"/>
  <c r="X10" i="22"/>
  <c r="W10" i="22"/>
  <c r="V10" i="22"/>
  <c r="U10" i="22"/>
  <c r="T10" i="22"/>
  <c r="S10" i="22"/>
  <c r="F10" i="22"/>
  <c r="E10" i="22"/>
  <c r="Z9" i="22"/>
  <c r="X9" i="22"/>
  <c r="W9" i="22"/>
  <c r="V9" i="22"/>
  <c r="U9" i="22"/>
  <c r="T9" i="22"/>
  <c r="S9" i="22"/>
  <c r="P9" i="22"/>
  <c r="X7" i="22"/>
  <c r="W7" i="22"/>
  <c r="Z5" i="22"/>
  <c r="G5" i="22"/>
  <c r="D5" i="22"/>
  <c r="AA32" i="17"/>
  <c r="P9" i="20"/>
  <c r="D4" i="20"/>
  <c r="H21" i="20"/>
  <c r="G61" i="20"/>
  <c r="F61" i="20"/>
  <c r="E61" i="20"/>
  <c r="L63" i="20"/>
  <c r="G60" i="20"/>
  <c r="F60" i="20"/>
  <c r="E60" i="20"/>
  <c r="G59" i="20"/>
  <c r="F59" i="20"/>
  <c r="E59" i="20"/>
  <c r="G58" i="20"/>
  <c r="M59" i="20" s="1"/>
  <c r="F58" i="20"/>
  <c r="E58" i="20"/>
  <c r="N60" i="20"/>
  <c r="F54" i="20" a="1"/>
  <c r="F54" i="20" s="1"/>
  <c r="C54" i="20"/>
  <c r="G53" i="20"/>
  <c r="H53" i="20" s="1"/>
  <c r="G52" i="20"/>
  <c r="H52" i="20" s="1"/>
  <c r="G51" i="20"/>
  <c r="H51" i="20" s="1"/>
  <c r="G50" i="20"/>
  <c r="H50" i="20" s="1"/>
  <c r="T47" i="20"/>
  <c r="G49" i="20"/>
  <c r="H49" i="20" s="1"/>
  <c r="T46" i="20"/>
  <c r="G48" i="20"/>
  <c r="H48" i="20" s="1"/>
  <c r="G47" i="20"/>
  <c r="H47" i="20" s="1"/>
  <c r="G46" i="20"/>
  <c r="H46" i="20" s="1"/>
  <c r="G45" i="20"/>
  <c r="H45" i="20" s="1"/>
  <c r="G44" i="20"/>
  <c r="H44" i="20" s="1"/>
  <c r="G43" i="20"/>
  <c r="H43" i="20" s="1"/>
  <c r="G42" i="20"/>
  <c r="H42" i="20" s="1"/>
  <c r="G41" i="20"/>
  <c r="H41" i="20" s="1"/>
  <c r="AA38" i="20"/>
  <c r="G40" i="20"/>
  <c r="H40" i="20" s="1"/>
  <c r="AA37" i="20"/>
  <c r="G39" i="20"/>
  <c r="H39" i="20" s="1"/>
  <c r="AA36" i="20"/>
  <c r="G38" i="20"/>
  <c r="H38" i="20" s="1"/>
  <c r="AA35" i="20"/>
  <c r="AA34" i="20"/>
  <c r="AA33" i="20"/>
  <c r="AA32" i="20"/>
  <c r="C26" i="20"/>
  <c r="D20" i="20" s="1"/>
  <c r="C25" i="20"/>
  <c r="P27" i="20"/>
  <c r="C24" i="20"/>
  <c r="U23" i="20"/>
  <c r="U28" i="20" s="1"/>
  <c r="U38" i="20" s="1"/>
  <c r="U39" i="20" s="1"/>
  <c r="T23" i="20"/>
  <c r="T28" i="20" s="1"/>
  <c r="T38" i="20" s="1"/>
  <c r="T39" i="20" s="1"/>
  <c r="N26" i="20"/>
  <c r="B23" i="20"/>
  <c r="H23" i="20" s="1"/>
  <c r="B22" i="20"/>
  <c r="E22" i="20" s="1"/>
  <c r="B20" i="20"/>
  <c r="E20" i="20" s="1"/>
  <c r="F19" i="20"/>
  <c r="E19" i="20"/>
  <c r="F18" i="20"/>
  <c r="E18" i="20"/>
  <c r="F17" i="20"/>
  <c r="E17" i="20"/>
  <c r="F16" i="20"/>
  <c r="E16" i="20"/>
  <c r="F15" i="20"/>
  <c r="E15" i="20"/>
  <c r="F14" i="20"/>
  <c r="E14" i="20"/>
  <c r="X13" i="20"/>
  <c r="W13" i="20"/>
  <c r="V13" i="20"/>
  <c r="U13" i="20"/>
  <c r="T13" i="20"/>
  <c r="S13" i="20"/>
  <c r="F13" i="20"/>
  <c r="E13" i="20"/>
  <c r="X12" i="20"/>
  <c r="W12" i="20"/>
  <c r="V12" i="20"/>
  <c r="U12" i="20"/>
  <c r="T12" i="20"/>
  <c r="S12" i="20"/>
  <c r="F12" i="20"/>
  <c r="E12" i="20"/>
  <c r="F11" i="20"/>
  <c r="E11" i="20"/>
  <c r="Z10" i="20"/>
  <c r="X10" i="20"/>
  <c r="W10" i="20"/>
  <c r="V10" i="20"/>
  <c r="U10" i="20"/>
  <c r="T10" i="20"/>
  <c r="S10" i="20"/>
  <c r="F10" i="20"/>
  <c r="E10" i="20"/>
  <c r="Z9" i="20"/>
  <c r="X9" i="20"/>
  <c r="W9" i="20"/>
  <c r="V9" i="20"/>
  <c r="U9" i="20"/>
  <c r="T9" i="20"/>
  <c r="S9" i="20"/>
  <c r="X7" i="20"/>
  <c r="W7" i="20"/>
  <c r="Z5" i="20"/>
  <c r="G5" i="20"/>
  <c r="O9" i="19"/>
  <c r="D4" i="19"/>
  <c r="G58" i="19"/>
  <c r="F58" i="19"/>
  <c r="E58" i="19"/>
  <c r="L57" i="19"/>
  <c r="N57" i="19" s="1"/>
  <c r="P59" i="19" s="1"/>
  <c r="G57" i="19"/>
  <c r="F57" i="19"/>
  <c r="E57" i="19"/>
  <c r="G56" i="19"/>
  <c r="F56" i="19"/>
  <c r="E56" i="19"/>
  <c r="F55" i="19"/>
  <c r="N54" i="19"/>
  <c r="M54" i="19"/>
  <c r="N53" i="19"/>
  <c r="F52" i="19" a="1"/>
  <c r="F52" i="19" s="1"/>
  <c r="C52" i="19"/>
  <c r="G51" i="19"/>
  <c r="H51" i="19" s="1"/>
  <c r="G50" i="19"/>
  <c r="H50" i="19" s="1"/>
  <c r="G49" i="19"/>
  <c r="H49" i="19" s="1"/>
  <c r="G48" i="19"/>
  <c r="H48" i="19" s="1"/>
  <c r="G47" i="19"/>
  <c r="H47" i="19" s="1"/>
  <c r="T46" i="19"/>
  <c r="T47" i="19" s="1"/>
  <c r="G46" i="19"/>
  <c r="H46" i="19" s="1"/>
  <c r="G45" i="19"/>
  <c r="H45" i="19" s="1"/>
  <c r="G44" i="19"/>
  <c r="H44" i="19" s="1"/>
  <c r="G43" i="19"/>
  <c r="H43" i="19" s="1"/>
  <c r="G42" i="19"/>
  <c r="H42" i="19" s="1"/>
  <c r="G41" i="19"/>
  <c r="H41" i="19" s="1"/>
  <c r="G40" i="19"/>
  <c r="H40" i="19" s="1"/>
  <c r="G39" i="19"/>
  <c r="H39" i="19" s="1"/>
  <c r="AA38" i="19"/>
  <c r="G38" i="19"/>
  <c r="H38" i="19" s="1"/>
  <c r="AA37" i="19"/>
  <c r="G37" i="19"/>
  <c r="H37" i="19" s="1"/>
  <c r="AA36" i="19"/>
  <c r="G36" i="19"/>
  <c r="H36" i="19" s="1"/>
  <c r="AA35" i="19"/>
  <c r="AA34" i="19"/>
  <c r="AA33" i="19"/>
  <c r="AA32" i="19"/>
  <c r="C26" i="19"/>
  <c r="D16" i="19" s="1"/>
  <c r="C25" i="19"/>
  <c r="P24" i="19"/>
  <c r="C24" i="19"/>
  <c r="U23" i="19"/>
  <c r="U28" i="19" s="1"/>
  <c r="U38" i="19" s="1"/>
  <c r="U39" i="19" s="1"/>
  <c r="T23" i="19"/>
  <c r="T28" i="19" s="1"/>
  <c r="T38" i="19" s="1"/>
  <c r="T39" i="19" s="1"/>
  <c r="N23" i="19"/>
  <c r="B23" i="19"/>
  <c r="H23" i="19" s="1"/>
  <c r="B22" i="19"/>
  <c r="H22" i="19" s="1"/>
  <c r="B21" i="19"/>
  <c r="G21" i="19" s="1"/>
  <c r="B20" i="19"/>
  <c r="H20" i="19" s="1"/>
  <c r="X13" i="19"/>
  <c r="W13" i="19"/>
  <c r="V13" i="19"/>
  <c r="U13" i="19"/>
  <c r="T13" i="19"/>
  <c r="S13" i="19"/>
  <c r="X12" i="19"/>
  <c r="W12" i="19"/>
  <c r="V12" i="19"/>
  <c r="U12" i="19"/>
  <c r="T12" i="19"/>
  <c r="S12" i="19"/>
  <c r="Z10" i="19"/>
  <c r="X10" i="19"/>
  <c r="W10" i="19"/>
  <c r="V10" i="19"/>
  <c r="U10" i="19"/>
  <c r="T10" i="19"/>
  <c r="S10" i="19"/>
  <c r="Z9" i="19"/>
  <c r="X9" i="19"/>
  <c r="W9" i="19"/>
  <c r="V9" i="19"/>
  <c r="U9" i="19"/>
  <c r="T9" i="19"/>
  <c r="S9" i="19"/>
  <c r="X7" i="19"/>
  <c r="W7" i="19"/>
  <c r="Z5" i="19"/>
  <c r="G5" i="19"/>
  <c r="D5" i="19"/>
  <c r="V13" i="17"/>
  <c r="V10" i="17"/>
  <c r="AV7" i="18"/>
  <c r="S12" i="17"/>
  <c r="U9" i="17"/>
  <c r="P9" i="17"/>
  <c r="U23" i="17"/>
  <c r="U28" i="17" s="1"/>
  <c r="U38" i="17" s="1"/>
  <c r="U39" i="17" s="1"/>
  <c r="T23" i="17"/>
  <c r="T28" i="17" s="1"/>
  <c r="T38" i="17" s="1"/>
  <c r="T39" i="17" s="1"/>
  <c r="Z5" i="17"/>
  <c r="L57" i="17"/>
  <c r="N57" i="17" s="1"/>
  <c r="P58" i="17" s="1"/>
  <c r="H7" i="7"/>
  <c r="AA33" i="17"/>
  <c r="AA34" i="17"/>
  <c r="AA35" i="17"/>
  <c r="AA36" i="17"/>
  <c r="AA37" i="17"/>
  <c r="AA38" i="17"/>
  <c r="G5" i="17"/>
  <c r="G4" i="14"/>
  <c r="P24" i="17"/>
  <c r="N23" i="17"/>
  <c r="F52" i="17" a="1"/>
  <c r="F52" i="17" s="1"/>
  <c r="N54" i="17"/>
  <c r="C25" i="17"/>
  <c r="E16" i="17"/>
  <c r="E17" i="17"/>
  <c r="G4" i="15"/>
  <c r="C52" i="17"/>
  <c r="G37" i="17"/>
  <c r="H37" i="17" s="1"/>
  <c r="B21" i="17"/>
  <c r="F21" i="17" s="1"/>
  <c r="F11" i="17"/>
  <c r="F12" i="17"/>
  <c r="F13" i="17"/>
  <c r="F14" i="17"/>
  <c r="F15" i="17"/>
  <c r="F10" i="17"/>
  <c r="E12" i="17"/>
  <c r="E11" i="17"/>
  <c r="E10" i="17"/>
  <c r="E14" i="17"/>
  <c r="E15" i="17"/>
  <c r="E13" i="17"/>
  <c r="B22" i="17"/>
  <c r="H22" i="17" s="1"/>
  <c r="B23" i="17"/>
  <c r="H23" i="17" s="1"/>
  <c r="F19" i="17"/>
  <c r="B20" i="17"/>
  <c r="F20" i="17" s="1"/>
  <c r="E56" i="17"/>
  <c r="E57" i="17"/>
  <c r="E58" i="17"/>
  <c r="F56" i="17"/>
  <c r="F57" i="17"/>
  <c r="F58" i="17"/>
  <c r="G56" i="17"/>
  <c r="G57" i="17"/>
  <c r="G58" i="17"/>
  <c r="F55" i="17"/>
  <c r="E55" i="17"/>
  <c r="G55" i="17"/>
  <c r="M53" i="17" s="1"/>
  <c r="G38" i="17"/>
  <c r="H38" i="17" s="1"/>
  <c r="G39" i="17"/>
  <c r="H39" i="17" s="1"/>
  <c r="G51" i="17"/>
  <c r="H51" i="17" s="1"/>
  <c r="G50" i="17"/>
  <c r="H50" i="17" s="1"/>
  <c r="G49" i="17"/>
  <c r="H49" i="17" s="1"/>
  <c r="G48" i="17"/>
  <c r="H48" i="17" s="1"/>
  <c r="G47" i="17"/>
  <c r="H47" i="17" s="1"/>
  <c r="G46" i="17"/>
  <c r="H46" i="17" s="1"/>
  <c r="G45" i="17"/>
  <c r="H45" i="17" s="1"/>
  <c r="G44" i="17"/>
  <c r="H44" i="17" s="1"/>
  <c r="G43" i="17"/>
  <c r="H43" i="17" s="1"/>
  <c r="G42" i="17"/>
  <c r="H42" i="17" s="1"/>
  <c r="G41" i="17"/>
  <c r="H41" i="17" s="1"/>
  <c r="G40" i="17"/>
  <c r="H40" i="17" s="1"/>
  <c r="G36" i="17"/>
  <c r="H36" i="17" s="1"/>
  <c r="T46" i="17"/>
  <c r="T47" i="17" s="1"/>
  <c r="D5" i="17"/>
  <c r="BG11" i="3"/>
  <c r="N55" i="11"/>
  <c r="N55" i="14"/>
  <c r="N55" i="13"/>
  <c r="N55" i="9"/>
  <c r="N54" i="9"/>
  <c r="N54" i="15"/>
  <c r="N55" i="15"/>
  <c r="L55" i="15"/>
  <c r="D11" i="15"/>
  <c r="C11" i="15"/>
  <c r="E5" i="15"/>
  <c r="E4" i="15"/>
  <c r="E20" i="19" l="1"/>
  <c r="F20" i="19"/>
  <c r="G20" i="19"/>
  <c r="H20" i="22"/>
  <c r="H20" i="20"/>
  <c r="G22" i="20"/>
  <c r="G23" i="20"/>
  <c r="G23" i="22"/>
  <c r="G20" i="17"/>
  <c r="H20" i="17"/>
  <c r="G26" i="22"/>
  <c r="H22" i="22"/>
  <c r="D21" i="22"/>
  <c r="D15" i="22"/>
  <c r="D12" i="22"/>
  <c r="D23" i="22"/>
  <c r="D11" i="22"/>
  <c r="D22" i="22"/>
  <c r="D19" i="22"/>
  <c r="D13" i="22"/>
  <c r="D10" i="22"/>
  <c r="D16" i="22"/>
  <c r="D20" i="22"/>
  <c r="D14" i="22"/>
  <c r="D18" i="22"/>
  <c r="E20" i="22"/>
  <c r="F20" i="22"/>
  <c r="E23" i="22"/>
  <c r="E22" i="22"/>
  <c r="F23" i="22"/>
  <c r="F22" i="22"/>
  <c r="P58" i="22"/>
  <c r="F23" i="20"/>
  <c r="H22" i="20"/>
  <c r="H21" i="17"/>
  <c r="F20" i="20"/>
  <c r="T48" i="20" s="1"/>
  <c r="T49" i="20" s="1"/>
  <c r="N63" i="20"/>
  <c r="P65" i="20" s="1"/>
  <c r="D23" i="20"/>
  <c r="D12" i="20"/>
  <c r="D21" i="20"/>
  <c r="D16" i="20"/>
  <c r="D22" i="20"/>
  <c r="D18" i="20"/>
  <c r="D17" i="20"/>
  <c r="D11" i="20"/>
  <c r="D13" i="20"/>
  <c r="D14" i="20"/>
  <c r="D10" i="20"/>
  <c r="D19" i="20"/>
  <c r="D15" i="20"/>
  <c r="H54" i="20"/>
  <c r="D7" i="20" s="1"/>
  <c r="E23" i="20"/>
  <c r="F22" i="20"/>
  <c r="E21" i="20"/>
  <c r="F21" i="20"/>
  <c r="T48" i="19"/>
  <c r="H21" i="19"/>
  <c r="D20" i="19"/>
  <c r="D17" i="19"/>
  <c r="D11" i="19"/>
  <c r="D15" i="19"/>
  <c r="D22" i="19"/>
  <c r="D14" i="19"/>
  <c r="D10" i="19"/>
  <c r="D24" i="19" s="1"/>
  <c r="D13" i="19"/>
  <c r="D12" i="19"/>
  <c r="D21" i="19"/>
  <c r="D18" i="19"/>
  <c r="D19" i="19"/>
  <c r="D23" i="19"/>
  <c r="H52" i="19"/>
  <c r="D7" i="19" s="1"/>
  <c r="E23" i="19"/>
  <c r="E22" i="19"/>
  <c r="F23" i="19"/>
  <c r="F22" i="19"/>
  <c r="G23" i="19"/>
  <c r="E21" i="19"/>
  <c r="G22" i="19"/>
  <c r="P58" i="19"/>
  <c r="F21" i="19"/>
  <c r="T10" i="17"/>
  <c r="X10" i="17"/>
  <c r="X7" i="17"/>
  <c r="V9" i="17"/>
  <c r="T12" i="17"/>
  <c r="S13" i="17"/>
  <c r="W7" i="17"/>
  <c r="S9" i="17"/>
  <c r="W9" i="17"/>
  <c r="U12" i="17"/>
  <c r="V12" i="17"/>
  <c r="T13" i="17"/>
  <c r="S10" i="17"/>
  <c r="W10" i="17"/>
  <c r="U13" i="17"/>
  <c r="U10" i="17"/>
  <c r="T9" i="17"/>
  <c r="X9" i="17"/>
  <c r="W12" i="17"/>
  <c r="W13" i="17"/>
  <c r="Z9" i="17"/>
  <c r="Z10" i="17"/>
  <c r="X12" i="17"/>
  <c r="X13" i="17"/>
  <c r="P59" i="17"/>
  <c r="F16" i="17"/>
  <c r="F17" i="17"/>
  <c r="C26" i="17"/>
  <c r="C24" i="17"/>
  <c r="F22" i="17"/>
  <c r="F23" i="17"/>
  <c r="E21" i="17"/>
  <c r="G21" i="17"/>
  <c r="G22" i="17"/>
  <c r="G23" i="17"/>
  <c r="E22" i="17"/>
  <c r="E23" i="17"/>
  <c r="F18" i="17"/>
  <c r="E18" i="17"/>
  <c r="E19" i="17"/>
  <c r="E20" i="17"/>
  <c r="H52" i="17"/>
  <c r="D7" i="17" s="1"/>
  <c r="N9" i="15"/>
  <c r="C29" i="15"/>
  <c r="G29" i="15" s="1"/>
  <c r="C31" i="15"/>
  <c r="G31" i="15" s="1"/>
  <c r="C32" i="15"/>
  <c r="G32" i="15" s="1"/>
  <c r="C33" i="15"/>
  <c r="G33" i="15" s="1"/>
  <c r="C34" i="15"/>
  <c r="G34" i="15" s="1"/>
  <c r="C35" i="15"/>
  <c r="G35" i="15" s="1"/>
  <c r="C36" i="15"/>
  <c r="G36" i="15" s="1"/>
  <c r="C37" i="15"/>
  <c r="G37" i="15" s="1"/>
  <c r="C38" i="15"/>
  <c r="G38" i="15" s="1"/>
  <c r="C39" i="15"/>
  <c r="G39" i="15" s="1"/>
  <c r="C40" i="15"/>
  <c r="G40" i="15" s="1"/>
  <c r="C41" i="15"/>
  <c r="G41" i="15" s="1"/>
  <c r="C42" i="15"/>
  <c r="G42" i="15" s="1"/>
  <c r="C43" i="15"/>
  <c r="G43" i="15" s="1"/>
  <c r="C28" i="15"/>
  <c r="G28" i="15" s="1"/>
  <c r="O60" i="15"/>
  <c r="O59" i="15"/>
  <c r="F50" i="15"/>
  <c r="E50" i="15"/>
  <c r="D50" i="15"/>
  <c r="F49" i="15"/>
  <c r="E49" i="15"/>
  <c r="D49" i="15"/>
  <c r="F48" i="15"/>
  <c r="E48" i="15"/>
  <c r="D48" i="15"/>
  <c r="E47" i="15"/>
  <c r="D47" i="15"/>
  <c r="F44" i="15"/>
  <c r="O37" i="15"/>
  <c r="G30" i="15"/>
  <c r="W27" i="15"/>
  <c r="S25" i="15"/>
  <c r="S26" i="15" s="1"/>
  <c r="O24" i="15"/>
  <c r="N23" i="15"/>
  <c r="L23" i="15"/>
  <c r="F20" i="15"/>
  <c r="G17" i="15" s="1"/>
  <c r="F19" i="15"/>
  <c r="E18" i="15"/>
  <c r="D18" i="15"/>
  <c r="C18" i="15"/>
  <c r="E17" i="15"/>
  <c r="D17" i="15"/>
  <c r="C17" i="15"/>
  <c r="D16" i="15"/>
  <c r="C16" i="15"/>
  <c r="D15" i="15"/>
  <c r="C15" i="15"/>
  <c r="D14" i="15"/>
  <c r="C14" i="15"/>
  <c r="D13" i="15"/>
  <c r="C13" i="15"/>
  <c r="D12" i="15"/>
  <c r="C12" i="15"/>
  <c r="D10" i="15"/>
  <c r="C10" i="15"/>
  <c r="W9" i="15"/>
  <c r="V9" i="15"/>
  <c r="U9" i="15"/>
  <c r="T9" i="15"/>
  <c r="S9" i="15"/>
  <c r="R9" i="15"/>
  <c r="W8" i="15"/>
  <c r="V8" i="15"/>
  <c r="U8" i="15"/>
  <c r="T8" i="15"/>
  <c r="S8" i="15"/>
  <c r="R8" i="15"/>
  <c r="O59" i="10"/>
  <c r="N55" i="10"/>
  <c r="L55" i="10"/>
  <c r="N23" i="14"/>
  <c r="O60" i="14"/>
  <c r="O59" i="14"/>
  <c r="L55" i="14"/>
  <c r="N54" i="14"/>
  <c r="F50" i="14"/>
  <c r="E50" i="14"/>
  <c r="D50" i="14"/>
  <c r="F49" i="14"/>
  <c r="E49" i="14"/>
  <c r="D49" i="14"/>
  <c r="F48" i="14"/>
  <c r="E48" i="14"/>
  <c r="D48" i="14"/>
  <c r="E47" i="14"/>
  <c r="D47" i="14"/>
  <c r="F44" i="14"/>
  <c r="C43" i="14"/>
  <c r="G43" i="14" s="1"/>
  <c r="C42" i="14"/>
  <c r="G42" i="14" s="1"/>
  <c r="C41" i="14"/>
  <c r="G41" i="14" s="1"/>
  <c r="C40" i="14"/>
  <c r="G40" i="14" s="1"/>
  <c r="C39" i="14"/>
  <c r="G39" i="14" s="1"/>
  <c r="C38" i="14"/>
  <c r="G38" i="14" s="1"/>
  <c r="O37" i="14"/>
  <c r="C37" i="14"/>
  <c r="G37" i="14" s="1"/>
  <c r="C36" i="14"/>
  <c r="G36" i="14" s="1"/>
  <c r="C35" i="14"/>
  <c r="G35" i="14" s="1"/>
  <c r="C34" i="14"/>
  <c r="G34" i="14" s="1"/>
  <c r="C33" i="14"/>
  <c r="G33" i="14" s="1"/>
  <c r="C32" i="14"/>
  <c r="G32" i="14" s="1"/>
  <c r="C31" i="14"/>
  <c r="G31" i="14" s="1"/>
  <c r="C30" i="14"/>
  <c r="G30" i="14" s="1"/>
  <c r="C29" i="14"/>
  <c r="G29" i="14" s="1"/>
  <c r="C28" i="14"/>
  <c r="G28" i="14" s="1"/>
  <c r="W27" i="14"/>
  <c r="S25" i="14"/>
  <c r="S26" i="14"/>
  <c r="O24" i="14"/>
  <c r="L23" i="14"/>
  <c r="F20" i="14"/>
  <c r="G12" i="14"/>
  <c r="F19" i="14"/>
  <c r="E18" i="14"/>
  <c r="D18" i="14"/>
  <c r="C18" i="14"/>
  <c r="E16" i="14"/>
  <c r="D16" i="14"/>
  <c r="C16" i="14"/>
  <c r="W9" i="14"/>
  <c r="V9" i="14"/>
  <c r="U9" i="14"/>
  <c r="T9" i="14"/>
  <c r="S9" i="14"/>
  <c r="R9" i="14"/>
  <c r="N9" i="14"/>
  <c r="W8" i="14"/>
  <c r="V8" i="14"/>
  <c r="U8" i="14"/>
  <c r="T8" i="14"/>
  <c r="S8" i="14"/>
  <c r="R8" i="14"/>
  <c r="H6" i="7"/>
  <c r="I5" i="7"/>
  <c r="I9" i="7"/>
  <c r="N9" i="7"/>
  <c r="R9" i="7" s="1"/>
  <c r="N10" i="7"/>
  <c r="R10" i="7" s="1"/>
  <c r="N11" i="7"/>
  <c r="R11" i="7" s="1"/>
  <c r="N12" i="7"/>
  <c r="R12" i="7" s="1"/>
  <c r="N13" i="7"/>
  <c r="R13" i="7" s="1"/>
  <c r="N14" i="7"/>
  <c r="R14" i="7" s="1"/>
  <c r="N15" i="7"/>
  <c r="R15" i="7" s="1"/>
  <c r="N16" i="7"/>
  <c r="R16" i="7" s="1"/>
  <c r="N17" i="7"/>
  <c r="R17" i="7" s="1"/>
  <c r="N8" i="7"/>
  <c r="R8" i="7" s="1"/>
  <c r="N7" i="7"/>
  <c r="R7" i="7" s="1"/>
  <c r="M58" i="10"/>
  <c r="M58" i="11"/>
  <c r="M58" i="9"/>
  <c r="M58" i="1"/>
  <c r="M58" i="13"/>
  <c r="O60" i="13"/>
  <c r="G4" i="11"/>
  <c r="L55" i="13"/>
  <c r="N54" i="13"/>
  <c r="F50" i="13"/>
  <c r="E50" i="13"/>
  <c r="D50" i="13"/>
  <c r="F49" i="13"/>
  <c r="E49" i="13"/>
  <c r="D49" i="13"/>
  <c r="F48" i="13"/>
  <c r="E48" i="13"/>
  <c r="D48" i="13"/>
  <c r="E47" i="13"/>
  <c r="D47" i="13"/>
  <c r="F44" i="13"/>
  <c r="C43" i="13"/>
  <c r="G43" i="13" s="1"/>
  <c r="N42" i="13"/>
  <c r="C42" i="13"/>
  <c r="G42" i="13" s="1"/>
  <c r="C41" i="13"/>
  <c r="G41" i="13" s="1"/>
  <c r="C40" i="13"/>
  <c r="G40" i="13" s="1"/>
  <c r="N39" i="13"/>
  <c r="C39" i="13"/>
  <c r="G39" i="13" s="1"/>
  <c r="C38" i="13"/>
  <c r="G38" i="13" s="1"/>
  <c r="O37" i="13"/>
  <c r="C37" i="13"/>
  <c r="G37" i="13" s="1"/>
  <c r="C36" i="13"/>
  <c r="G36" i="13" s="1"/>
  <c r="C35" i="13"/>
  <c r="G35" i="13" s="1"/>
  <c r="C34" i="13"/>
  <c r="G34" i="13" s="1"/>
  <c r="C33" i="13"/>
  <c r="G33" i="13" s="1"/>
  <c r="C32" i="13"/>
  <c r="G32" i="13" s="1"/>
  <c r="C31" i="13"/>
  <c r="G31" i="13" s="1"/>
  <c r="C30" i="13"/>
  <c r="G30" i="13" s="1"/>
  <c r="C29" i="13"/>
  <c r="G29" i="13" s="1"/>
  <c r="C28" i="13"/>
  <c r="G28" i="13" s="1"/>
  <c r="W27" i="13"/>
  <c r="S25" i="13"/>
  <c r="S26" i="13" s="1"/>
  <c r="O24" i="13"/>
  <c r="N23" i="13"/>
  <c r="L23" i="13"/>
  <c r="F20" i="13"/>
  <c r="G17" i="13"/>
  <c r="F19" i="13"/>
  <c r="E18" i="13"/>
  <c r="D18" i="13"/>
  <c r="C18" i="13"/>
  <c r="E17" i="13"/>
  <c r="D17" i="13"/>
  <c r="C17" i="13"/>
  <c r="E16" i="13"/>
  <c r="D16" i="13"/>
  <c r="C16" i="13"/>
  <c r="E15" i="13"/>
  <c r="D15" i="13"/>
  <c r="C15" i="13"/>
  <c r="E14" i="13"/>
  <c r="D14" i="13"/>
  <c r="C14" i="13"/>
  <c r="E13" i="13"/>
  <c r="D13" i="13"/>
  <c r="C13" i="13"/>
  <c r="E12" i="13"/>
  <c r="D12" i="13"/>
  <c r="C12" i="13"/>
  <c r="E11" i="13"/>
  <c r="D11" i="13"/>
  <c r="C11" i="13"/>
  <c r="E10" i="13"/>
  <c r="D10" i="13"/>
  <c r="C10" i="13"/>
  <c r="W9" i="13"/>
  <c r="V9" i="13"/>
  <c r="U9" i="13"/>
  <c r="T9" i="13"/>
  <c r="S9" i="13"/>
  <c r="R9" i="13"/>
  <c r="N9" i="13"/>
  <c r="W8" i="13"/>
  <c r="V8" i="13"/>
  <c r="U8" i="13"/>
  <c r="T8" i="13"/>
  <c r="S8" i="13"/>
  <c r="R8" i="13"/>
  <c r="G4" i="13"/>
  <c r="E48" i="1"/>
  <c r="E49" i="1"/>
  <c r="E50" i="1"/>
  <c r="G10" i="14"/>
  <c r="G16" i="14"/>
  <c r="G14" i="14"/>
  <c r="G18" i="14"/>
  <c r="G11" i="14"/>
  <c r="G13" i="14"/>
  <c r="G15" i="14"/>
  <c r="G17" i="14"/>
  <c r="O59" i="13"/>
  <c r="G14" i="13"/>
  <c r="G12" i="13"/>
  <c r="G10" i="13"/>
  <c r="G18" i="13"/>
  <c r="G16" i="13"/>
  <c r="G11" i="13"/>
  <c r="G13" i="13"/>
  <c r="G15" i="13"/>
  <c r="D48" i="1"/>
  <c r="D49" i="1"/>
  <c r="D50" i="1"/>
  <c r="E47" i="1"/>
  <c r="D47" i="1"/>
  <c r="E48" i="9"/>
  <c r="E49" i="9"/>
  <c r="E50" i="9"/>
  <c r="D48" i="9"/>
  <c r="D49" i="9"/>
  <c r="D50" i="9"/>
  <c r="E47" i="9"/>
  <c r="D47" i="9"/>
  <c r="E48" i="11"/>
  <c r="E49" i="11"/>
  <c r="E50" i="11"/>
  <c r="D48" i="11"/>
  <c r="D49" i="11"/>
  <c r="D50" i="11"/>
  <c r="E47" i="11"/>
  <c r="D47" i="11"/>
  <c r="E48" i="10"/>
  <c r="E49" i="10"/>
  <c r="E50" i="10"/>
  <c r="D48" i="10"/>
  <c r="D49" i="10"/>
  <c r="D50" i="10"/>
  <c r="E47" i="10"/>
  <c r="D47" i="10"/>
  <c r="C24" i="7"/>
  <c r="C23" i="7"/>
  <c r="G19" i="14"/>
  <c r="G20" i="14"/>
  <c r="G20" i="13"/>
  <c r="G19" i="13"/>
  <c r="W27" i="1"/>
  <c r="S25" i="1"/>
  <c r="S26" i="1" s="1"/>
  <c r="W9" i="1"/>
  <c r="V9" i="1"/>
  <c r="U9" i="1"/>
  <c r="T9" i="1"/>
  <c r="S9" i="1"/>
  <c r="R9" i="1"/>
  <c r="W8" i="1"/>
  <c r="V8" i="1"/>
  <c r="U8" i="1"/>
  <c r="T8" i="1"/>
  <c r="S8" i="1"/>
  <c r="R8" i="1"/>
  <c r="W27" i="9"/>
  <c r="S25" i="9"/>
  <c r="S26" i="9" s="1"/>
  <c r="W9" i="9"/>
  <c r="V9" i="9"/>
  <c r="U9" i="9"/>
  <c r="T9" i="9"/>
  <c r="S9" i="9"/>
  <c r="R9" i="9"/>
  <c r="W8" i="9"/>
  <c r="V8" i="9"/>
  <c r="U8" i="9"/>
  <c r="T8" i="9"/>
  <c r="S8" i="9"/>
  <c r="R8" i="9"/>
  <c r="W27" i="11"/>
  <c r="S25" i="11"/>
  <c r="S26" i="11" s="1"/>
  <c r="W9" i="11"/>
  <c r="V9" i="11"/>
  <c r="U9" i="11"/>
  <c r="T9" i="11"/>
  <c r="S9" i="11"/>
  <c r="R9" i="11"/>
  <c r="W8" i="11"/>
  <c r="V8" i="11"/>
  <c r="U8" i="11"/>
  <c r="T8" i="11"/>
  <c r="S8" i="11"/>
  <c r="R8" i="11"/>
  <c r="W27" i="10"/>
  <c r="S25" i="10"/>
  <c r="S26" i="10" s="1"/>
  <c r="W9" i="10"/>
  <c r="V9" i="10"/>
  <c r="U9" i="10"/>
  <c r="T9" i="10"/>
  <c r="S9" i="10"/>
  <c r="R9" i="10"/>
  <c r="W8" i="10"/>
  <c r="V8" i="10"/>
  <c r="U8" i="10"/>
  <c r="T8" i="10"/>
  <c r="S8" i="10"/>
  <c r="R8" i="10"/>
  <c r="BP93" i="3"/>
  <c r="BY44" i="3"/>
  <c r="BY45" i="3"/>
  <c r="BY46" i="3"/>
  <c r="BY47" i="3"/>
  <c r="BY48" i="3"/>
  <c r="BY49" i="3"/>
  <c r="BY50" i="3"/>
  <c r="BY51" i="3"/>
  <c r="BY52" i="3"/>
  <c r="BY53" i="3"/>
  <c r="BY54" i="3"/>
  <c r="BY55" i="3"/>
  <c r="BY56" i="3"/>
  <c r="BY57" i="3"/>
  <c r="BY58" i="3"/>
  <c r="BY59" i="3"/>
  <c r="BY60" i="3"/>
  <c r="BY61" i="3"/>
  <c r="BY62" i="3"/>
  <c r="BY63" i="3"/>
  <c r="BY64" i="3"/>
  <c r="BY65" i="3"/>
  <c r="BY66" i="3"/>
  <c r="BY67" i="3"/>
  <c r="BY68" i="3"/>
  <c r="BY69" i="3"/>
  <c r="BY70" i="3"/>
  <c r="BY71" i="3"/>
  <c r="BY72" i="3"/>
  <c r="BY73" i="3"/>
  <c r="BY74" i="3"/>
  <c r="BY75" i="3"/>
  <c r="BY76" i="3"/>
  <c r="BY77" i="3"/>
  <c r="BY78" i="3"/>
  <c r="BY79" i="3"/>
  <c r="BY80" i="3"/>
  <c r="BY81" i="3"/>
  <c r="BY82" i="3"/>
  <c r="BY83" i="3"/>
  <c r="BY84" i="3"/>
  <c r="BY85" i="3"/>
  <c r="BY86" i="3"/>
  <c r="BY87" i="3"/>
  <c r="BY88" i="3"/>
  <c r="BY89" i="3"/>
  <c r="BY90" i="3"/>
  <c r="BY91" i="3"/>
  <c r="BY92" i="3"/>
  <c r="BY93" i="3"/>
  <c r="BY94" i="3"/>
  <c r="BY95" i="3"/>
  <c r="BY96" i="3"/>
  <c r="BY97" i="3"/>
  <c r="BY98" i="3"/>
  <c r="BY99" i="3"/>
  <c r="BY100" i="3"/>
  <c r="BY101" i="3"/>
  <c r="BY102" i="3"/>
  <c r="BZ102" i="3"/>
  <c r="CA102" i="3" s="1"/>
  <c r="BY103" i="3"/>
  <c r="BY104" i="3"/>
  <c r="BY105" i="3"/>
  <c r="BY106" i="3"/>
  <c r="BY107" i="3"/>
  <c r="BY108" i="3"/>
  <c r="BY109" i="3"/>
  <c r="BY110" i="3"/>
  <c r="BY111" i="3"/>
  <c r="BY112" i="3"/>
  <c r="BY113" i="3"/>
  <c r="BY114" i="3"/>
  <c r="BY115" i="3"/>
  <c r="BY116" i="3"/>
  <c r="BY117" i="3"/>
  <c r="BY118" i="3"/>
  <c r="BY119" i="3"/>
  <c r="BY120" i="3"/>
  <c r="BY121" i="3"/>
  <c r="BY122" i="3"/>
  <c r="BY123" i="3"/>
  <c r="BY124" i="3"/>
  <c r="BY125" i="3"/>
  <c r="BY126" i="3"/>
  <c r="BY127" i="3"/>
  <c r="BY128" i="3"/>
  <c r="BY129" i="3"/>
  <c r="BY130" i="3"/>
  <c r="BY131" i="3"/>
  <c r="BY132" i="3"/>
  <c r="BY133" i="3"/>
  <c r="BY134" i="3"/>
  <c r="BY135" i="3"/>
  <c r="BY136" i="3"/>
  <c r="BY137" i="3"/>
  <c r="BY138" i="3"/>
  <c r="BY139" i="3"/>
  <c r="BY140" i="3"/>
  <c r="BY141" i="3"/>
  <c r="BY142" i="3"/>
  <c r="BY143" i="3"/>
  <c r="BY144" i="3"/>
  <c r="BY145" i="3"/>
  <c r="BY146" i="3"/>
  <c r="BY147" i="3"/>
  <c r="BY148" i="3"/>
  <c r="BY149" i="3"/>
  <c r="BY150" i="3"/>
  <c r="BY151" i="3"/>
  <c r="BY152" i="3"/>
  <c r="BY153" i="3"/>
  <c r="BY154" i="3"/>
  <c r="BY155" i="3"/>
  <c r="BY156" i="3"/>
  <c r="BY157" i="3"/>
  <c r="BY158" i="3"/>
  <c r="BY159" i="3"/>
  <c r="BY160" i="3"/>
  <c r="BY161" i="3"/>
  <c r="BY162" i="3"/>
  <c r="BY163" i="3"/>
  <c r="BY164" i="3"/>
  <c r="BY165" i="3"/>
  <c r="BY166" i="3"/>
  <c r="BY167" i="3"/>
  <c r="BY168" i="3"/>
  <c r="BY169" i="3"/>
  <c r="BY170" i="3"/>
  <c r="BY171" i="3"/>
  <c r="BY172" i="3"/>
  <c r="BY173" i="3"/>
  <c r="BY174" i="3"/>
  <c r="BY175" i="3"/>
  <c r="BY176" i="3"/>
  <c r="BY177" i="3"/>
  <c r="BY178" i="3"/>
  <c r="BY179" i="3"/>
  <c r="BY180" i="3"/>
  <c r="BY181" i="3"/>
  <c r="BY182" i="3"/>
  <c r="BY10" i="3"/>
  <c r="BZ10" i="3"/>
  <c r="CA10" i="3" s="1"/>
  <c r="BY11" i="3"/>
  <c r="BY12" i="3"/>
  <c r="BY13" i="3"/>
  <c r="BY14" i="3"/>
  <c r="BY15" i="3"/>
  <c r="BY16" i="3"/>
  <c r="BY17" i="3"/>
  <c r="BY18" i="3"/>
  <c r="BY19" i="3"/>
  <c r="BY20" i="3"/>
  <c r="BY21" i="3"/>
  <c r="BY22" i="3"/>
  <c r="BY23" i="3"/>
  <c r="BY24" i="3"/>
  <c r="BY25" i="3"/>
  <c r="BY26" i="3"/>
  <c r="BY27" i="3"/>
  <c r="BY28" i="3"/>
  <c r="BY29" i="3"/>
  <c r="BY30" i="3"/>
  <c r="BY31" i="3"/>
  <c r="BY32" i="3"/>
  <c r="BY33" i="3"/>
  <c r="BY34" i="3"/>
  <c r="BY35" i="3"/>
  <c r="BY36" i="3"/>
  <c r="BY37" i="3"/>
  <c r="BY38" i="3"/>
  <c r="BY39" i="3"/>
  <c r="BY40" i="3"/>
  <c r="BY41" i="3"/>
  <c r="BY42" i="3"/>
  <c r="BY43" i="3"/>
  <c r="BG103" i="3"/>
  <c r="BJ103" i="3"/>
  <c r="BM103" i="3"/>
  <c r="BP103" i="3"/>
  <c r="BV166" i="3"/>
  <c r="BZ166" i="3" s="1"/>
  <c r="CA166" i="3" s="1"/>
  <c r="BS166" i="3"/>
  <c r="BP166" i="3"/>
  <c r="BM166" i="3"/>
  <c r="BJ166" i="3"/>
  <c r="BG166" i="3"/>
  <c r="BV165" i="3"/>
  <c r="BZ165" i="3" s="1"/>
  <c r="CA165" i="3" s="1"/>
  <c r="BS165" i="3"/>
  <c r="BP165" i="3"/>
  <c r="BM165" i="3"/>
  <c r="BJ165" i="3"/>
  <c r="BG165" i="3"/>
  <c r="BV164" i="3"/>
  <c r="BZ164" i="3" s="1"/>
  <c r="CA164" i="3" s="1"/>
  <c r="BS164" i="3"/>
  <c r="BP164" i="3"/>
  <c r="BM164" i="3"/>
  <c r="BJ164" i="3"/>
  <c r="BG164" i="3"/>
  <c r="BV163" i="3"/>
  <c r="BZ163" i="3" s="1"/>
  <c r="CA163" i="3" s="1"/>
  <c r="BS163" i="3"/>
  <c r="BP163" i="3"/>
  <c r="BM163" i="3"/>
  <c r="BJ163" i="3"/>
  <c r="BG163" i="3"/>
  <c r="BV162" i="3"/>
  <c r="BZ162" i="3" s="1"/>
  <c r="CA162" i="3" s="1"/>
  <c r="BS162" i="3"/>
  <c r="BP162" i="3"/>
  <c r="BM162" i="3"/>
  <c r="BJ162" i="3"/>
  <c r="BG162" i="3"/>
  <c r="BV161" i="3"/>
  <c r="BZ161" i="3" s="1"/>
  <c r="CA161" i="3" s="1"/>
  <c r="BS161" i="3"/>
  <c r="BP161" i="3"/>
  <c r="BM161" i="3"/>
  <c r="BJ161" i="3"/>
  <c r="BG161" i="3"/>
  <c r="BV160" i="3"/>
  <c r="BZ160" i="3" s="1"/>
  <c r="CA160" i="3" s="1"/>
  <c r="BS160" i="3"/>
  <c r="BP160" i="3"/>
  <c r="BM160" i="3"/>
  <c r="BJ160" i="3"/>
  <c r="BG160" i="3"/>
  <c r="BV159" i="3"/>
  <c r="BZ159" i="3" s="1"/>
  <c r="CA159" i="3" s="1"/>
  <c r="BS159" i="3"/>
  <c r="BP159" i="3"/>
  <c r="BM159" i="3"/>
  <c r="BJ159" i="3"/>
  <c r="BG159" i="3"/>
  <c r="BV158" i="3"/>
  <c r="BZ158" i="3" s="1"/>
  <c r="CA158" i="3" s="1"/>
  <c r="BS158" i="3"/>
  <c r="BP158" i="3"/>
  <c r="BM158" i="3"/>
  <c r="BJ158" i="3"/>
  <c r="BG158" i="3"/>
  <c r="BV157" i="3"/>
  <c r="BZ157" i="3" s="1"/>
  <c r="CA157" i="3" s="1"/>
  <c r="BS157" i="3"/>
  <c r="BP157" i="3"/>
  <c r="BM157" i="3"/>
  <c r="BJ157" i="3"/>
  <c r="BG157" i="3"/>
  <c r="BV156" i="3"/>
  <c r="BZ156" i="3" s="1"/>
  <c r="CA156" i="3" s="1"/>
  <c r="BS156" i="3"/>
  <c r="BP156" i="3"/>
  <c r="BM156" i="3"/>
  <c r="BJ156" i="3"/>
  <c r="BG156" i="3"/>
  <c r="BV155" i="3"/>
  <c r="BZ155" i="3" s="1"/>
  <c r="CA155" i="3" s="1"/>
  <c r="BS155" i="3"/>
  <c r="BP155" i="3"/>
  <c r="BM155" i="3"/>
  <c r="BJ155" i="3"/>
  <c r="BG155" i="3"/>
  <c r="BV154" i="3"/>
  <c r="BZ154" i="3" s="1"/>
  <c r="CA154" i="3" s="1"/>
  <c r="BS154" i="3"/>
  <c r="BP154" i="3"/>
  <c r="BM154" i="3"/>
  <c r="BJ154" i="3"/>
  <c r="BG154" i="3"/>
  <c r="BV153" i="3"/>
  <c r="BZ153" i="3" s="1"/>
  <c r="CA153" i="3" s="1"/>
  <c r="BS153" i="3"/>
  <c r="BP153" i="3"/>
  <c r="BM153" i="3"/>
  <c r="BJ153" i="3"/>
  <c r="BG153" i="3"/>
  <c r="BV152" i="3"/>
  <c r="BZ152" i="3" s="1"/>
  <c r="CA152" i="3" s="1"/>
  <c r="BS152" i="3"/>
  <c r="BP152" i="3"/>
  <c r="BM152" i="3"/>
  <c r="BJ152" i="3"/>
  <c r="BG152" i="3"/>
  <c r="BV151" i="3"/>
  <c r="BZ151" i="3" s="1"/>
  <c r="CA151" i="3" s="1"/>
  <c r="BS151" i="3"/>
  <c r="BP151" i="3"/>
  <c r="BM151" i="3"/>
  <c r="BJ151" i="3"/>
  <c r="BG151" i="3"/>
  <c r="BV150" i="3"/>
  <c r="BZ150" i="3" s="1"/>
  <c r="CA150" i="3" s="1"/>
  <c r="BS150" i="3"/>
  <c r="BP150" i="3"/>
  <c r="BM150" i="3"/>
  <c r="BJ150" i="3"/>
  <c r="BG150" i="3"/>
  <c r="BV149" i="3"/>
  <c r="BZ149" i="3" s="1"/>
  <c r="CA149" i="3" s="1"/>
  <c r="BS149" i="3"/>
  <c r="BP149" i="3"/>
  <c r="BM149" i="3"/>
  <c r="BJ149" i="3"/>
  <c r="BG149" i="3"/>
  <c r="BV148" i="3"/>
  <c r="BZ148" i="3" s="1"/>
  <c r="CA148" i="3" s="1"/>
  <c r="BS148" i="3"/>
  <c r="BP148" i="3"/>
  <c r="BM148" i="3"/>
  <c r="BJ148" i="3"/>
  <c r="BG148" i="3"/>
  <c r="BV147" i="3"/>
  <c r="BZ147" i="3" s="1"/>
  <c r="CA147" i="3" s="1"/>
  <c r="BS147" i="3"/>
  <c r="BP147" i="3"/>
  <c r="BM147" i="3"/>
  <c r="BJ147" i="3"/>
  <c r="BG147" i="3"/>
  <c r="BV146" i="3"/>
  <c r="BZ146" i="3" s="1"/>
  <c r="CA146" i="3" s="1"/>
  <c r="BS146" i="3"/>
  <c r="BP146" i="3"/>
  <c r="BM146" i="3"/>
  <c r="BJ146" i="3"/>
  <c r="BG146" i="3"/>
  <c r="BV145" i="3"/>
  <c r="BZ145" i="3" s="1"/>
  <c r="CA145" i="3" s="1"/>
  <c r="BS145" i="3"/>
  <c r="BP145" i="3"/>
  <c r="BM145" i="3"/>
  <c r="BJ145" i="3"/>
  <c r="BG145" i="3"/>
  <c r="BV144" i="3"/>
  <c r="BZ144" i="3" s="1"/>
  <c r="CA144" i="3" s="1"/>
  <c r="BS144" i="3"/>
  <c r="BP144" i="3"/>
  <c r="BM144" i="3"/>
  <c r="BJ144" i="3"/>
  <c r="BG144" i="3"/>
  <c r="BV143" i="3"/>
  <c r="BZ143" i="3" s="1"/>
  <c r="CA143" i="3" s="1"/>
  <c r="BS143" i="3"/>
  <c r="BP143" i="3"/>
  <c r="BM143" i="3"/>
  <c r="BJ143" i="3"/>
  <c r="BG143" i="3"/>
  <c r="BV142" i="3"/>
  <c r="BZ142" i="3" s="1"/>
  <c r="CA142" i="3" s="1"/>
  <c r="BS142" i="3"/>
  <c r="BP142" i="3"/>
  <c r="BM142" i="3"/>
  <c r="BJ142" i="3"/>
  <c r="BG142" i="3"/>
  <c r="BV141" i="3"/>
  <c r="BZ141" i="3" s="1"/>
  <c r="CA141" i="3" s="1"/>
  <c r="BS141" i="3"/>
  <c r="BP141" i="3"/>
  <c r="BM141" i="3"/>
  <c r="BJ141" i="3"/>
  <c r="BG141" i="3"/>
  <c r="BV140" i="3"/>
  <c r="BZ140" i="3" s="1"/>
  <c r="CA140" i="3" s="1"/>
  <c r="BS140" i="3"/>
  <c r="BP140" i="3"/>
  <c r="BM140" i="3"/>
  <c r="BJ140" i="3"/>
  <c r="BG140" i="3"/>
  <c r="BV139" i="3"/>
  <c r="BZ139" i="3" s="1"/>
  <c r="CA139" i="3" s="1"/>
  <c r="BS139" i="3"/>
  <c r="BP139" i="3"/>
  <c r="BM139" i="3"/>
  <c r="BJ139" i="3"/>
  <c r="BG139" i="3"/>
  <c r="BV138" i="3"/>
  <c r="BZ138" i="3" s="1"/>
  <c r="CA138" i="3" s="1"/>
  <c r="BS138" i="3"/>
  <c r="BP138" i="3"/>
  <c r="BM138" i="3"/>
  <c r="BJ138" i="3"/>
  <c r="BG138" i="3"/>
  <c r="BV137" i="3"/>
  <c r="BZ137" i="3" s="1"/>
  <c r="CA137" i="3" s="1"/>
  <c r="BS137" i="3"/>
  <c r="BP137" i="3"/>
  <c r="BM137" i="3"/>
  <c r="BJ137" i="3"/>
  <c r="BG137" i="3"/>
  <c r="BV136" i="3"/>
  <c r="BZ136" i="3" s="1"/>
  <c r="CA136" i="3" s="1"/>
  <c r="BS136" i="3"/>
  <c r="BP136" i="3"/>
  <c r="BM136" i="3"/>
  <c r="BJ136" i="3"/>
  <c r="BG136" i="3"/>
  <c r="BV135" i="3"/>
  <c r="BZ135" i="3" s="1"/>
  <c r="CA135" i="3" s="1"/>
  <c r="BS135" i="3"/>
  <c r="BP135" i="3"/>
  <c r="BM135" i="3"/>
  <c r="BJ135" i="3"/>
  <c r="BG135" i="3"/>
  <c r="BV134" i="3"/>
  <c r="BZ134" i="3" s="1"/>
  <c r="CA134" i="3" s="1"/>
  <c r="BS134" i="3"/>
  <c r="BP134" i="3"/>
  <c r="BM134" i="3"/>
  <c r="BJ134" i="3"/>
  <c r="BG134" i="3"/>
  <c r="BV133" i="3"/>
  <c r="BZ133" i="3" s="1"/>
  <c r="CA133" i="3" s="1"/>
  <c r="BS133" i="3"/>
  <c r="BP133" i="3"/>
  <c r="BM133" i="3"/>
  <c r="BJ133" i="3"/>
  <c r="BG133" i="3"/>
  <c r="BV132" i="3"/>
  <c r="BZ132" i="3" s="1"/>
  <c r="CA132" i="3" s="1"/>
  <c r="BS132" i="3"/>
  <c r="BP132" i="3"/>
  <c r="BM132" i="3"/>
  <c r="BJ132" i="3"/>
  <c r="BG132" i="3"/>
  <c r="BV131" i="3"/>
  <c r="BZ131" i="3" s="1"/>
  <c r="CA131" i="3" s="1"/>
  <c r="BS131" i="3"/>
  <c r="BP131" i="3"/>
  <c r="BM131" i="3"/>
  <c r="BJ131" i="3"/>
  <c r="BG131" i="3"/>
  <c r="BV130" i="3"/>
  <c r="BZ130" i="3" s="1"/>
  <c r="CA130" i="3" s="1"/>
  <c r="BS130" i="3"/>
  <c r="BP130" i="3"/>
  <c r="BM130" i="3"/>
  <c r="BJ130" i="3"/>
  <c r="BG130" i="3"/>
  <c r="BV129" i="3"/>
  <c r="BZ129" i="3" s="1"/>
  <c r="CA129" i="3" s="1"/>
  <c r="BS129" i="3"/>
  <c r="BP129" i="3"/>
  <c r="BM129" i="3"/>
  <c r="BJ129" i="3"/>
  <c r="BG129" i="3"/>
  <c r="BV128" i="3"/>
  <c r="BZ128" i="3" s="1"/>
  <c r="CA128" i="3" s="1"/>
  <c r="BS128" i="3"/>
  <c r="BP128" i="3"/>
  <c r="BM128" i="3"/>
  <c r="BJ128" i="3"/>
  <c r="BG128" i="3"/>
  <c r="BV127" i="3"/>
  <c r="BZ127" i="3" s="1"/>
  <c r="CA127" i="3" s="1"/>
  <c r="BS127" i="3"/>
  <c r="BP127" i="3"/>
  <c r="BM127" i="3"/>
  <c r="BJ127" i="3"/>
  <c r="BG127" i="3"/>
  <c r="BV126" i="3"/>
  <c r="BZ126" i="3" s="1"/>
  <c r="CA126" i="3" s="1"/>
  <c r="BS126" i="3"/>
  <c r="BP126" i="3"/>
  <c r="BM126" i="3"/>
  <c r="BJ126" i="3"/>
  <c r="BG126" i="3"/>
  <c r="BV125" i="3"/>
  <c r="BZ125" i="3" s="1"/>
  <c r="CA125" i="3" s="1"/>
  <c r="BS125" i="3"/>
  <c r="BP125" i="3"/>
  <c r="BM125" i="3"/>
  <c r="BJ125" i="3"/>
  <c r="BG125" i="3"/>
  <c r="BV124" i="3"/>
  <c r="BZ124" i="3" s="1"/>
  <c r="CA124" i="3" s="1"/>
  <c r="BS124" i="3"/>
  <c r="BP124" i="3"/>
  <c r="BM124" i="3"/>
  <c r="BJ124" i="3"/>
  <c r="BG124" i="3"/>
  <c r="BV123" i="3"/>
  <c r="BZ123" i="3" s="1"/>
  <c r="CA123" i="3" s="1"/>
  <c r="BS123" i="3"/>
  <c r="BP123" i="3"/>
  <c r="BM123" i="3"/>
  <c r="BJ123" i="3"/>
  <c r="BG123" i="3"/>
  <c r="BV122" i="3"/>
  <c r="BZ122" i="3" s="1"/>
  <c r="CA122" i="3" s="1"/>
  <c r="BS122" i="3"/>
  <c r="BP122" i="3"/>
  <c r="BM122" i="3"/>
  <c r="BJ122" i="3"/>
  <c r="BG122" i="3"/>
  <c r="BV121" i="3"/>
  <c r="BZ121" i="3" s="1"/>
  <c r="CA121" i="3" s="1"/>
  <c r="BS121" i="3"/>
  <c r="BP121" i="3"/>
  <c r="BM121" i="3"/>
  <c r="BJ121" i="3"/>
  <c r="BG121" i="3"/>
  <c r="BV120" i="3"/>
  <c r="BZ120" i="3" s="1"/>
  <c r="CA120" i="3" s="1"/>
  <c r="BS120" i="3"/>
  <c r="BP120" i="3"/>
  <c r="BM120" i="3"/>
  <c r="BJ120" i="3"/>
  <c r="BG120" i="3"/>
  <c r="BV119" i="3"/>
  <c r="BZ119" i="3" s="1"/>
  <c r="CA119" i="3" s="1"/>
  <c r="BS119" i="3"/>
  <c r="BP119" i="3"/>
  <c r="BM119" i="3"/>
  <c r="BJ119" i="3"/>
  <c r="BG119" i="3"/>
  <c r="BV118" i="3"/>
  <c r="BZ118" i="3" s="1"/>
  <c r="CA118" i="3" s="1"/>
  <c r="BS118" i="3"/>
  <c r="BP118" i="3"/>
  <c r="BM118" i="3"/>
  <c r="BJ118" i="3"/>
  <c r="BG118" i="3"/>
  <c r="BV117" i="3"/>
  <c r="BZ117" i="3" s="1"/>
  <c r="CA117" i="3" s="1"/>
  <c r="BS117" i="3"/>
  <c r="BP117" i="3"/>
  <c r="BM117" i="3"/>
  <c r="BJ117" i="3"/>
  <c r="BG117" i="3"/>
  <c r="BV116" i="3"/>
  <c r="BZ116" i="3" s="1"/>
  <c r="CA116" i="3" s="1"/>
  <c r="BS116" i="3"/>
  <c r="BP116" i="3"/>
  <c r="BM116" i="3"/>
  <c r="BJ116" i="3"/>
  <c r="BG116" i="3"/>
  <c r="BV115" i="3"/>
  <c r="BZ115" i="3" s="1"/>
  <c r="CA115" i="3" s="1"/>
  <c r="BS115" i="3"/>
  <c r="BP115" i="3"/>
  <c r="BM115" i="3"/>
  <c r="BJ115" i="3"/>
  <c r="BG115" i="3"/>
  <c r="BV114" i="3"/>
  <c r="BZ114" i="3" s="1"/>
  <c r="CA114" i="3" s="1"/>
  <c r="BS114" i="3"/>
  <c r="BP114" i="3"/>
  <c r="BM114" i="3"/>
  <c r="BJ114" i="3"/>
  <c r="BG114" i="3"/>
  <c r="BV113" i="3"/>
  <c r="BZ113" i="3" s="1"/>
  <c r="CA113" i="3" s="1"/>
  <c r="BS113" i="3"/>
  <c r="BP113" i="3"/>
  <c r="BM113" i="3"/>
  <c r="BJ113" i="3"/>
  <c r="BG113" i="3"/>
  <c r="BV112" i="3"/>
  <c r="BZ112" i="3" s="1"/>
  <c r="CA112" i="3" s="1"/>
  <c r="BS112" i="3"/>
  <c r="BP112" i="3"/>
  <c r="BM112" i="3"/>
  <c r="BJ112" i="3"/>
  <c r="BG112" i="3"/>
  <c r="BV111" i="3"/>
  <c r="BZ111" i="3" s="1"/>
  <c r="CA111" i="3" s="1"/>
  <c r="BS111" i="3"/>
  <c r="BP111" i="3"/>
  <c r="BM111" i="3"/>
  <c r="BJ111" i="3"/>
  <c r="BG111" i="3"/>
  <c r="BV110" i="3"/>
  <c r="BZ110" i="3" s="1"/>
  <c r="CA110" i="3" s="1"/>
  <c r="BS110" i="3"/>
  <c r="BP110" i="3"/>
  <c r="BM110" i="3"/>
  <c r="BJ110" i="3"/>
  <c r="BG110" i="3"/>
  <c r="BV109" i="3"/>
  <c r="BZ109" i="3" s="1"/>
  <c r="CA109" i="3" s="1"/>
  <c r="BS109" i="3"/>
  <c r="BP109" i="3"/>
  <c r="BM109" i="3"/>
  <c r="BJ109" i="3"/>
  <c r="BG109" i="3"/>
  <c r="BV108" i="3"/>
  <c r="BZ108" i="3" s="1"/>
  <c r="CA108" i="3" s="1"/>
  <c r="BS108" i="3"/>
  <c r="BP108" i="3"/>
  <c r="BM108" i="3"/>
  <c r="BJ108" i="3"/>
  <c r="BG108" i="3"/>
  <c r="BV107" i="3"/>
  <c r="BZ107" i="3" s="1"/>
  <c r="CA107" i="3" s="1"/>
  <c r="BS107" i="3"/>
  <c r="BP107" i="3"/>
  <c r="BM107" i="3"/>
  <c r="BJ107" i="3"/>
  <c r="BG107" i="3"/>
  <c r="BV106" i="3"/>
  <c r="BZ106" i="3" s="1"/>
  <c r="CA106" i="3" s="1"/>
  <c r="BS106" i="3"/>
  <c r="BP106" i="3"/>
  <c r="BM106" i="3"/>
  <c r="BJ106" i="3"/>
  <c r="BG106" i="3"/>
  <c r="BV105" i="3"/>
  <c r="BZ105" i="3" s="1"/>
  <c r="CA105" i="3" s="1"/>
  <c r="BS105" i="3"/>
  <c r="BP105" i="3"/>
  <c r="BM105" i="3"/>
  <c r="BJ105" i="3"/>
  <c r="BG105" i="3"/>
  <c r="BV104" i="3"/>
  <c r="BZ104" i="3" s="1"/>
  <c r="CA104" i="3" s="1"/>
  <c r="BS104" i="3"/>
  <c r="BP104" i="3"/>
  <c r="BM104" i="3"/>
  <c r="BJ104" i="3"/>
  <c r="BG104" i="3"/>
  <c r="BV103" i="3"/>
  <c r="BZ103" i="3" s="1"/>
  <c r="CA103" i="3" s="1"/>
  <c r="BS103" i="3"/>
  <c r="BV101" i="3"/>
  <c r="BZ101" i="3" s="1"/>
  <c r="CA101" i="3" s="1"/>
  <c r="BS101" i="3"/>
  <c r="BP101" i="3"/>
  <c r="BM101" i="3"/>
  <c r="BJ101" i="3"/>
  <c r="BG101" i="3"/>
  <c r="BV100" i="3"/>
  <c r="BZ100" i="3" s="1"/>
  <c r="CA100" i="3" s="1"/>
  <c r="BS100" i="3"/>
  <c r="BP100" i="3"/>
  <c r="BM100" i="3"/>
  <c r="BJ100" i="3"/>
  <c r="BG100" i="3"/>
  <c r="BV99" i="3"/>
  <c r="BZ99" i="3" s="1"/>
  <c r="CA99" i="3" s="1"/>
  <c r="BS99" i="3"/>
  <c r="BP99" i="3"/>
  <c r="BM99" i="3"/>
  <c r="BJ99" i="3"/>
  <c r="BG99" i="3"/>
  <c r="BV98" i="3"/>
  <c r="BZ98" i="3" s="1"/>
  <c r="CA98" i="3" s="1"/>
  <c r="BS98" i="3"/>
  <c r="BP98" i="3"/>
  <c r="BM98" i="3"/>
  <c r="BJ98" i="3"/>
  <c r="BG98" i="3"/>
  <c r="BV97" i="3"/>
  <c r="BZ97" i="3" s="1"/>
  <c r="CA97" i="3" s="1"/>
  <c r="BS97" i="3"/>
  <c r="BP97" i="3"/>
  <c r="BM97" i="3"/>
  <c r="BJ97" i="3"/>
  <c r="BG97" i="3"/>
  <c r="BV96" i="3"/>
  <c r="BZ96" i="3" s="1"/>
  <c r="CA96" i="3" s="1"/>
  <c r="BS96" i="3"/>
  <c r="BP96" i="3"/>
  <c r="BM96" i="3"/>
  <c r="BJ96" i="3"/>
  <c r="BG96" i="3"/>
  <c r="BV95" i="3"/>
  <c r="BZ95" i="3" s="1"/>
  <c r="CA95" i="3" s="1"/>
  <c r="BS95" i="3"/>
  <c r="BP95" i="3"/>
  <c r="BM95" i="3"/>
  <c r="BJ95" i="3"/>
  <c r="BG95" i="3"/>
  <c r="BV94" i="3"/>
  <c r="BZ94" i="3" s="1"/>
  <c r="CA94" i="3" s="1"/>
  <c r="BS94" i="3"/>
  <c r="BP94" i="3"/>
  <c r="BM94" i="3"/>
  <c r="BJ94" i="3"/>
  <c r="BG94" i="3"/>
  <c r="BV93" i="3"/>
  <c r="BZ93" i="3" s="1"/>
  <c r="CA93" i="3" s="1"/>
  <c r="BS93" i="3"/>
  <c r="BM93" i="3"/>
  <c r="BJ93" i="3"/>
  <c r="BG93" i="3"/>
  <c r="BV92" i="3"/>
  <c r="BZ92" i="3" s="1"/>
  <c r="CA92" i="3" s="1"/>
  <c r="BS92" i="3"/>
  <c r="BP92" i="3"/>
  <c r="BM92" i="3"/>
  <c r="BJ92" i="3"/>
  <c r="BG92" i="3"/>
  <c r="BV91" i="3"/>
  <c r="BZ91" i="3" s="1"/>
  <c r="CA91" i="3" s="1"/>
  <c r="BS91" i="3"/>
  <c r="BP91" i="3"/>
  <c r="BM91" i="3"/>
  <c r="BJ91" i="3"/>
  <c r="BG91" i="3"/>
  <c r="BV90" i="3"/>
  <c r="BZ90" i="3" s="1"/>
  <c r="CA90" i="3" s="1"/>
  <c r="BS90" i="3"/>
  <c r="BP90" i="3"/>
  <c r="BM90" i="3"/>
  <c r="BJ90" i="3"/>
  <c r="BG90" i="3"/>
  <c r="BV89" i="3"/>
  <c r="BZ89" i="3" s="1"/>
  <c r="CA89" i="3" s="1"/>
  <c r="BS89" i="3"/>
  <c r="BP89" i="3"/>
  <c r="BM89" i="3"/>
  <c r="BJ89" i="3"/>
  <c r="BG89" i="3"/>
  <c r="BV88" i="3"/>
  <c r="BZ88" i="3" s="1"/>
  <c r="CA88" i="3" s="1"/>
  <c r="BS88" i="3"/>
  <c r="BP88" i="3"/>
  <c r="BM88" i="3"/>
  <c r="BJ88" i="3"/>
  <c r="BG88" i="3"/>
  <c r="BV87" i="3"/>
  <c r="BZ87" i="3" s="1"/>
  <c r="CA87" i="3" s="1"/>
  <c r="BS87" i="3"/>
  <c r="BP87" i="3"/>
  <c r="BM87" i="3"/>
  <c r="BJ87" i="3"/>
  <c r="BG87" i="3"/>
  <c r="BV86" i="3"/>
  <c r="BZ86" i="3" s="1"/>
  <c r="CA86" i="3" s="1"/>
  <c r="BS86" i="3"/>
  <c r="BP86" i="3"/>
  <c r="BM86" i="3"/>
  <c r="BJ86" i="3"/>
  <c r="BG86" i="3"/>
  <c r="BV85" i="3"/>
  <c r="BZ85" i="3" s="1"/>
  <c r="CA85" i="3" s="1"/>
  <c r="BS85" i="3"/>
  <c r="BP85" i="3"/>
  <c r="BM85" i="3"/>
  <c r="BJ85" i="3"/>
  <c r="BG85" i="3"/>
  <c r="BV84" i="3"/>
  <c r="BZ84" i="3" s="1"/>
  <c r="CA84" i="3" s="1"/>
  <c r="BS84" i="3"/>
  <c r="BP84" i="3"/>
  <c r="BM84" i="3"/>
  <c r="BJ84" i="3"/>
  <c r="BG84" i="3"/>
  <c r="BV83" i="3"/>
  <c r="BZ83" i="3" s="1"/>
  <c r="CA83" i="3" s="1"/>
  <c r="BS83" i="3"/>
  <c r="BP83" i="3"/>
  <c r="BM83" i="3"/>
  <c r="BJ83" i="3"/>
  <c r="BG83" i="3"/>
  <c r="BV82" i="3"/>
  <c r="BZ82" i="3" s="1"/>
  <c r="CA82" i="3" s="1"/>
  <c r="BS82" i="3"/>
  <c r="BP82" i="3"/>
  <c r="BM82" i="3"/>
  <c r="BJ82" i="3"/>
  <c r="BG82" i="3"/>
  <c r="BV81" i="3"/>
  <c r="BZ81" i="3" s="1"/>
  <c r="CA81" i="3" s="1"/>
  <c r="BS81" i="3"/>
  <c r="BP81" i="3"/>
  <c r="BM81" i="3"/>
  <c r="BJ81" i="3"/>
  <c r="BG81" i="3"/>
  <c r="BV80" i="3"/>
  <c r="BZ80" i="3" s="1"/>
  <c r="CA80" i="3" s="1"/>
  <c r="BS80" i="3"/>
  <c r="BP80" i="3"/>
  <c r="BM80" i="3"/>
  <c r="BJ80" i="3"/>
  <c r="BG80" i="3"/>
  <c r="BV79" i="3"/>
  <c r="BZ79" i="3" s="1"/>
  <c r="CA79" i="3" s="1"/>
  <c r="BS79" i="3"/>
  <c r="BP79" i="3"/>
  <c r="BM79" i="3"/>
  <c r="BJ79" i="3"/>
  <c r="BG79" i="3"/>
  <c r="BV78" i="3"/>
  <c r="BZ78" i="3" s="1"/>
  <c r="CA78" i="3" s="1"/>
  <c r="BS78" i="3"/>
  <c r="BP78" i="3"/>
  <c r="BM78" i="3"/>
  <c r="BJ78" i="3"/>
  <c r="BG78" i="3"/>
  <c r="BV77" i="3"/>
  <c r="BZ77" i="3" s="1"/>
  <c r="CA77" i="3" s="1"/>
  <c r="BS77" i="3"/>
  <c r="BP77" i="3"/>
  <c r="BM77" i="3"/>
  <c r="BJ77" i="3"/>
  <c r="BG77" i="3"/>
  <c r="BV76" i="3"/>
  <c r="BZ76" i="3" s="1"/>
  <c r="CA76" i="3" s="1"/>
  <c r="BS76" i="3"/>
  <c r="BP76" i="3"/>
  <c r="BM76" i="3"/>
  <c r="BJ76" i="3"/>
  <c r="BG76" i="3"/>
  <c r="BV75" i="3"/>
  <c r="BZ75" i="3" s="1"/>
  <c r="CA75" i="3" s="1"/>
  <c r="BS75" i="3"/>
  <c r="BP75" i="3"/>
  <c r="BM75" i="3"/>
  <c r="BJ75" i="3"/>
  <c r="BG75" i="3"/>
  <c r="BV74" i="3"/>
  <c r="BZ74" i="3" s="1"/>
  <c r="CA74" i="3" s="1"/>
  <c r="BS74" i="3"/>
  <c r="BP74" i="3"/>
  <c r="BM74" i="3"/>
  <c r="BJ74" i="3"/>
  <c r="BG74" i="3"/>
  <c r="BV73" i="3"/>
  <c r="BZ73" i="3" s="1"/>
  <c r="CA73" i="3" s="1"/>
  <c r="BS73" i="3"/>
  <c r="BP73" i="3"/>
  <c r="BM73" i="3"/>
  <c r="BJ73" i="3"/>
  <c r="BG73" i="3"/>
  <c r="BV72" i="3"/>
  <c r="BZ72" i="3" s="1"/>
  <c r="CA72" i="3" s="1"/>
  <c r="BS72" i="3"/>
  <c r="BP72" i="3"/>
  <c r="BM72" i="3"/>
  <c r="BJ72" i="3"/>
  <c r="BG72" i="3"/>
  <c r="BV71" i="3"/>
  <c r="BZ71" i="3" s="1"/>
  <c r="CA71" i="3" s="1"/>
  <c r="BS71" i="3"/>
  <c r="BP71" i="3"/>
  <c r="BM71" i="3"/>
  <c r="BJ71" i="3"/>
  <c r="BG71" i="3"/>
  <c r="BV70" i="3"/>
  <c r="BZ70" i="3" s="1"/>
  <c r="CA70" i="3" s="1"/>
  <c r="BS70" i="3"/>
  <c r="BP70" i="3"/>
  <c r="BM70" i="3"/>
  <c r="BJ70" i="3"/>
  <c r="BG70" i="3"/>
  <c r="BV69" i="3"/>
  <c r="BZ69" i="3" s="1"/>
  <c r="CA69" i="3" s="1"/>
  <c r="BS69" i="3"/>
  <c r="BP69" i="3"/>
  <c r="BM69" i="3"/>
  <c r="BJ69" i="3"/>
  <c r="BG69" i="3"/>
  <c r="BV68" i="3"/>
  <c r="BZ68" i="3" s="1"/>
  <c r="CA68" i="3" s="1"/>
  <c r="BS68" i="3"/>
  <c r="BP68" i="3"/>
  <c r="BM68" i="3"/>
  <c r="BJ68" i="3"/>
  <c r="BG68" i="3"/>
  <c r="BV67" i="3"/>
  <c r="BZ67" i="3" s="1"/>
  <c r="CA67" i="3" s="1"/>
  <c r="BS67" i="3"/>
  <c r="BP67" i="3"/>
  <c r="BM67" i="3"/>
  <c r="BJ67" i="3"/>
  <c r="BG67" i="3"/>
  <c r="BV66" i="3"/>
  <c r="BZ66" i="3" s="1"/>
  <c r="CA66" i="3" s="1"/>
  <c r="BS66" i="3"/>
  <c r="BP66" i="3"/>
  <c r="BM66" i="3"/>
  <c r="BJ66" i="3"/>
  <c r="BG66" i="3"/>
  <c r="BV65" i="3"/>
  <c r="BZ65" i="3" s="1"/>
  <c r="CA65" i="3" s="1"/>
  <c r="BS65" i="3"/>
  <c r="BP65" i="3"/>
  <c r="BM65" i="3"/>
  <c r="BJ65" i="3"/>
  <c r="BG65" i="3"/>
  <c r="BV64" i="3"/>
  <c r="BZ64" i="3" s="1"/>
  <c r="CA64" i="3" s="1"/>
  <c r="BS64" i="3"/>
  <c r="BP64" i="3"/>
  <c r="BM64" i="3"/>
  <c r="BJ64" i="3"/>
  <c r="BG64" i="3"/>
  <c r="BV63" i="3"/>
  <c r="BZ63" i="3" s="1"/>
  <c r="CA63" i="3" s="1"/>
  <c r="BS63" i="3"/>
  <c r="BP63" i="3"/>
  <c r="BM63" i="3"/>
  <c r="BJ63" i="3"/>
  <c r="BG63" i="3"/>
  <c r="BV62" i="3"/>
  <c r="BZ62" i="3" s="1"/>
  <c r="CA62" i="3" s="1"/>
  <c r="BS62" i="3"/>
  <c r="BP62" i="3"/>
  <c r="BM62" i="3"/>
  <c r="BJ62" i="3"/>
  <c r="BG62" i="3"/>
  <c r="BV61" i="3"/>
  <c r="BZ61" i="3" s="1"/>
  <c r="CA61" i="3" s="1"/>
  <c r="BS61" i="3"/>
  <c r="BP61" i="3"/>
  <c r="BM61" i="3"/>
  <c r="BJ61" i="3"/>
  <c r="BG61" i="3"/>
  <c r="BV60" i="3"/>
  <c r="BZ60" i="3" s="1"/>
  <c r="CA60" i="3" s="1"/>
  <c r="BS60" i="3"/>
  <c r="BP60" i="3"/>
  <c r="BM60" i="3"/>
  <c r="BJ60" i="3"/>
  <c r="BG60" i="3"/>
  <c r="BV59" i="3"/>
  <c r="BZ59" i="3" s="1"/>
  <c r="CA59" i="3" s="1"/>
  <c r="BS59" i="3"/>
  <c r="BP59" i="3"/>
  <c r="BM59" i="3"/>
  <c r="BJ59" i="3"/>
  <c r="BG59" i="3"/>
  <c r="BV58" i="3"/>
  <c r="BZ58" i="3" s="1"/>
  <c r="CA58" i="3" s="1"/>
  <c r="BS58" i="3"/>
  <c r="BP58" i="3"/>
  <c r="BM58" i="3"/>
  <c r="BJ58" i="3"/>
  <c r="BG58" i="3"/>
  <c r="BV57" i="3"/>
  <c r="BZ57" i="3" s="1"/>
  <c r="CA57" i="3" s="1"/>
  <c r="BS57" i="3"/>
  <c r="BP57" i="3"/>
  <c r="BM57" i="3"/>
  <c r="BJ57" i="3"/>
  <c r="BG57" i="3"/>
  <c r="BV56" i="3"/>
  <c r="BZ56" i="3" s="1"/>
  <c r="CA56" i="3" s="1"/>
  <c r="BS56" i="3"/>
  <c r="BP56" i="3"/>
  <c r="BM56" i="3"/>
  <c r="BJ56" i="3"/>
  <c r="BG56" i="3"/>
  <c r="BV55" i="3"/>
  <c r="BZ55" i="3" s="1"/>
  <c r="CA55" i="3" s="1"/>
  <c r="BS55" i="3"/>
  <c r="BP55" i="3"/>
  <c r="BM55" i="3"/>
  <c r="BJ55" i="3"/>
  <c r="BG55" i="3"/>
  <c r="BV54" i="3"/>
  <c r="BZ54" i="3" s="1"/>
  <c r="CA54" i="3" s="1"/>
  <c r="BS54" i="3"/>
  <c r="BP54" i="3"/>
  <c r="BM54" i="3"/>
  <c r="BJ54" i="3"/>
  <c r="BG54" i="3"/>
  <c r="BV53" i="3"/>
  <c r="BZ53" i="3" s="1"/>
  <c r="CA53" i="3" s="1"/>
  <c r="BS53" i="3"/>
  <c r="BP53" i="3"/>
  <c r="BM53" i="3"/>
  <c r="BJ53" i="3"/>
  <c r="BG53" i="3"/>
  <c r="BV52" i="3"/>
  <c r="BZ52" i="3" s="1"/>
  <c r="CA52" i="3" s="1"/>
  <c r="BS52" i="3"/>
  <c r="BP52" i="3"/>
  <c r="BM52" i="3"/>
  <c r="BJ52" i="3"/>
  <c r="BG52" i="3"/>
  <c r="BV51" i="3"/>
  <c r="BZ51" i="3" s="1"/>
  <c r="CA51" i="3" s="1"/>
  <c r="BS51" i="3"/>
  <c r="BP51" i="3"/>
  <c r="BM51" i="3"/>
  <c r="BJ51" i="3"/>
  <c r="BG51" i="3"/>
  <c r="BV50" i="3"/>
  <c r="BZ50" i="3" s="1"/>
  <c r="CA50" i="3" s="1"/>
  <c r="BS50" i="3"/>
  <c r="BP50" i="3"/>
  <c r="BM50" i="3"/>
  <c r="BJ50" i="3"/>
  <c r="BG50" i="3"/>
  <c r="BV49" i="3"/>
  <c r="BZ49" i="3" s="1"/>
  <c r="CA49" i="3" s="1"/>
  <c r="BS49" i="3"/>
  <c r="BP49" i="3"/>
  <c r="BM49" i="3"/>
  <c r="BJ49" i="3"/>
  <c r="BG49" i="3"/>
  <c r="BV48" i="3"/>
  <c r="BZ48" i="3" s="1"/>
  <c r="CA48" i="3" s="1"/>
  <c r="BS48" i="3"/>
  <c r="BP48" i="3"/>
  <c r="BM48" i="3"/>
  <c r="BJ48" i="3"/>
  <c r="BG48" i="3"/>
  <c r="BV47" i="3"/>
  <c r="BZ47" i="3" s="1"/>
  <c r="CA47" i="3" s="1"/>
  <c r="BS47" i="3"/>
  <c r="BP47" i="3"/>
  <c r="BM47" i="3"/>
  <c r="BJ47" i="3"/>
  <c r="BG47" i="3"/>
  <c r="BV46" i="3"/>
  <c r="BZ46" i="3" s="1"/>
  <c r="CA46" i="3" s="1"/>
  <c r="BS46" i="3"/>
  <c r="BP46" i="3"/>
  <c r="BM46" i="3"/>
  <c r="BJ46" i="3"/>
  <c r="BG46" i="3"/>
  <c r="BV45" i="3"/>
  <c r="BZ45" i="3" s="1"/>
  <c r="CA45" i="3" s="1"/>
  <c r="BS45" i="3"/>
  <c r="BP45" i="3"/>
  <c r="BM45" i="3"/>
  <c r="BJ45" i="3"/>
  <c r="BG45" i="3"/>
  <c r="BV44" i="3"/>
  <c r="BZ44" i="3" s="1"/>
  <c r="CA44" i="3" s="1"/>
  <c r="BS44" i="3"/>
  <c r="BP44" i="3"/>
  <c r="BM44" i="3"/>
  <c r="BJ44" i="3"/>
  <c r="BG44" i="3"/>
  <c r="BV43" i="3"/>
  <c r="BZ43" i="3" s="1"/>
  <c r="CA43" i="3" s="1"/>
  <c r="BS43" i="3"/>
  <c r="BP43" i="3"/>
  <c r="BM43" i="3"/>
  <c r="BJ43" i="3"/>
  <c r="BG43" i="3"/>
  <c r="BV42" i="3"/>
  <c r="BZ42" i="3" s="1"/>
  <c r="CA42" i="3" s="1"/>
  <c r="BS42" i="3"/>
  <c r="BP42" i="3"/>
  <c r="BM42" i="3"/>
  <c r="BJ42" i="3"/>
  <c r="BG42" i="3"/>
  <c r="BV41" i="3"/>
  <c r="BZ41" i="3" s="1"/>
  <c r="CA41" i="3" s="1"/>
  <c r="BS41" i="3"/>
  <c r="BP41" i="3"/>
  <c r="BM41" i="3"/>
  <c r="BJ41" i="3"/>
  <c r="BG41" i="3"/>
  <c r="BV40" i="3"/>
  <c r="BZ40" i="3" s="1"/>
  <c r="CA40" i="3" s="1"/>
  <c r="BS40" i="3"/>
  <c r="BP40" i="3"/>
  <c r="BM40" i="3"/>
  <c r="BJ40" i="3"/>
  <c r="BG40" i="3"/>
  <c r="BV39" i="3"/>
  <c r="BZ39" i="3" s="1"/>
  <c r="CA39" i="3" s="1"/>
  <c r="BS39" i="3"/>
  <c r="BP39" i="3"/>
  <c r="BM39" i="3"/>
  <c r="BJ39" i="3"/>
  <c r="BG39" i="3"/>
  <c r="BV38" i="3"/>
  <c r="BZ38" i="3" s="1"/>
  <c r="CA38" i="3" s="1"/>
  <c r="BS38" i="3"/>
  <c r="BP38" i="3"/>
  <c r="BM38" i="3"/>
  <c r="BJ38" i="3"/>
  <c r="BG38" i="3"/>
  <c r="BV37" i="3"/>
  <c r="BZ37" i="3" s="1"/>
  <c r="CA37" i="3" s="1"/>
  <c r="BS37" i="3"/>
  <c r="BP37" i="3"/>
  <c r="BM37" i="3"/>
  <c r="BJ37" i="3"/>
  <c r="BG37" i="3"/>
  <c r="BV36" i="3"/>
  <c r="BZ36" i="3" s="1"/>
  <c r="CA36" i="3" s="1"/>
  <c r="BS36" i="3"/>
  <c r="BP36" i="3"/>
  <c r="BM36" i="3"/>
  <c r="BJ36" i="3"/>
  <c r="BG36" i="3"/>
  <c r="BV35" i="3"/>
  <c r="BZ35" i="3" s="1"/>
  <c r="CA35" i="3" s="1"/>
  <c r="BS35" i="3"/>
  <c r="BP35" i="3"/>
  <c r="BM35" i="3"/>
  <c r="BJ35" i="3"/>
  <c r="BG35" i="3"/>
  <c r="BV34" i="3"/>
  <c r="BZ34" i="3" s="1"/>
  <c r="CA34" i="3" s="1"/>
  <c r="BS34" i="3"/>
  <c r="BP34" i="3"/>
  <c r="BM34" i="3"/>
  <c r="BJ34" i="3"/>
  <c r="BG34" i="3"/>
  <c r="BV33" i="3"/>
  <c r="BZ33" i="3" s="1"/>
  <c r="CA33" i="3" s="1"/>
  <c r="BS33" i="3"/>
  <c r="BP33" i="3"/>
  <c r="BM33" i="3"/>
  <c r="BJ33" i="3"/>
  <c r="BG33" i="3"/>
  <c r="BV32" i="3"/>
  <c r="BZ32" i="3" s="1"/>
  <c r="CA32" i="3" s="1"/>
  <c r="BS32" i="3"/>
  <c r="BP32" i="3"/>
  <c r="BM32" i="3"/>
  <c r="BJ32" i="3"/>
  <c r="BG32" i="3"/>
  <c r="BV31" i="3"/>
  <c r="BZ31" i="3" s="1"/>
  <c r="CA31" i="3" s="1"/>
  <c r="BS31" i="3"/>
  <c r="BP31" i="3"/>
  <c r="BM31" i="3"/>
  <c r="BJ31" i="3"/>
  <c r="BG31" i="3"/>
  <c r="BV30" i="3"/>
  <c r="BZ30" i="3" s="1"/>
  <c r="CA30" i="3" s="1"/>
  <c r="BS30" i="3"/>
  <c r="BP30" i="3"/>
  <c r="BM30" i="3"/>
  <c r="BJ30" i="3"/>
  <c r="BG30" i="3"/>
  <c r="BV29" i="3"/>
  <c r="BZ29" i="3" s="1"/>
  <c r="CA29" i="3" s="1"/>
  <c r="BS29" i="3"/>
  <c r="BP29" i="3"/>
  <c r="BM29" i="3"/>
  <c r="BJ29" i="3"/>
  <c r="BG29" i="3"/>
  <c r="BV28" i="3"/>
  <c r="BZ28" i="3" s="1"/>
  <c r="CA28" i="3" s="1"/>
  <c r="BS28" i="3"/>
  <c r="BP28" i="3"/>
  <c r="BM28" i="3"/>
  <c r="BJ28" i="3"/>
  <c r="BG28" i="3"/>
  <c r="BV27" i="3"/>
  <c r="BZ27" i="3" s="1"/>
  <c r="CA27" i="3" s="1"/>
  <c r="BS27" i="3"/>
  <c r="BP27" i="3"/>
  <c r="BM27" i="3"/>
  <c r="BJ27" i="3"/>
  <c r="BG27" i="3"/>
  <c r="BV26" i="3"/>
  <c r="BZ26" i="3" s="1"/>
  <c r="CA26" i="3" s="1"/>
  <c r="BS26" i="3"/>
  <c r="BP26" i="3"/>
  <c r="BM26" i="3"/>
  <c r="BJ26" i="3"/>
  <c r="BG26" i="3"/>
  <c r="BV25" i="3"/>
  <c r="BZ25" i="3" s="1"/>
  <c r="CA25" i="3" s="1"/>
  <c r="BS25" i="3"/>
  <c r="BP25" i="3"/>
  <c r="BM25" i="3"/>
  <c r="BJ25" i="3"/>
  <c r="BG25" i="3"/>
  <c r="BV24" i="3"/>
  <c r="BZ24" i="3" s="1"/>
  <c r="CA24" i="3" s="1"/>
  <c r="BS24" i="3"/>
  <c r="BP24" i="3"/>
  <c r="BM24" i="3"/>
  <c r="BJ24" i="3"/>
  <c r="BG24" i="3"/>
  <c r="BV23" i="3"/>
  <c r="BZ23" i="3" s="1"/>
  <c r="CA23" i="3" s="1"/>
  <c r="BS23" i="3"/>
  <c r="BP23" i="3"/>
  <c r="BM23" i="3"/>
  <c r="BJ23" i="3"/>
  <c r="BG23" i="3"/>
  <c r="BV22" i="3"/>
  <c r="BZ22" i="3" s="1"/>
  <c r="CA22" i="3" s="1"/>
  <c r="BS22" i="3"/>
  <c r="BP22" i="3"/>
  <c r="BM22" i="3"/>
  <c r="BJ22" i="3"/>
  <c r="BG22" i="3"/>
  <c r="BV21" i="3"/>
  <c r="BZ21" i="3" s="1"/>
  <c r="CA21" i="3" s="1"/>
  <c r="BS21" i="3"/>
  <c r="BP21" i="3"/>
  <c r="BM21" i="3"/>
  <c r="BJ21" i="3"/>
  <c r="BG21" i="3"/>
  <c r="BV20" i="3"/>
  <c r="BZ20" i="3" s="1"/>
  <c r="CA20" i="3" s="1"/>
  <c r="BS20" i="3"/>
  <c r="BP20" i="3"/>
  <c r="BM20" i="3"/>
  <c r="BJ20" i="3"/>
  <c r="BG20" i="3"/>
  <c r="BV19" i="3"/>
  <c r="BZ19" i="3" s="1"/>
  <c r="CA19" i="3" s="1"/>
  <c r="BS19" i="3"/>
  <c r="BP19" i="3"/>
  <c r="BM19" i="3"/>
  <c r="BJ19" i="3"/>
  <c r="BG19" i="3"/>
  <c r="BV18" i="3"/>
  <c r="BZ18" i="3" s="1"/>
  <c r="CA18" i="3" s="1"/>
  <c r="BS18" i="3"/>
  <c r="BP18" i="3"/>
  <c r="BM18" i="3"/>
  <c r="BJ18" i="3"/>
  <c r="BG18" i="3"/>
  <c r="BV17" i="3"/>
  <c r="BZ17" i="3" s="1"/>
  <c r="CA17" i="3" s="1"/>
  <c r="BS17" i="3"/>
  <c r="BP17" i="3"/>
  <c r="BM17" i="3"/>
  <c r="BJ17" i="3"/>
  <c r="BG17" i="3"/>
  <c r="BV16" i="3"/>
  <c r="BZ16" i="3" s="1"/>
  <c r="CA16" i="3" s="1"/>
  <c r="BS16" i="3"/>
  <c r="BP16" i="3"/>
  <c r="BM16" i="3"/>
  <c r="BJ16" i="3"/>
  <c r="BG16" i="3"/>
  <c r="BV15" i="3"/>
  <c r="BZ15" i="3" s="1"/>
  <c r="CA15" i="3" s="1"/>
  <c r="BS15" i="3"/>
  <c r="BP15" i="3"/>
  <c r="BM15" i="3"/>
  <c r="BJ15" i="3"/>
  <c r="BG15" i="3"/>
  <c r="BV14" i="3"/>
  <c r="BZ14" i="3" s="1"/>
  <c r="CA14" i="3" s="1"/>
  <c r="BS14" i="3"/>
  <c r="BP14" i="3"/>
  <c r="BM14" i="3"/>
  <c r="BJ14" i="3"/>
  <c r="BG14" i="3"/>
  <c r="BV13" i="3"/>
  <c r="BZ13" i="3" s="1"/>
  <c r="CA13" i="3" s="1"/>
  <c r="BS13" i="3"/>
  <c r="BP13" i="3"/>
  <c r="BM13" i="3"/>
  <c r="BJ13" i="3"/>
  <c r="BG13" i="3"/>
  <c r="BV12" i="3"/>
  <c r="BS12" i="3"/>
  <c r="BP12" i="3"/>
  <c r="BM12" i="3"/>
  <c r="BJ12" i="3"/>
  <c r="BG12" i="3"/>
  <c r="BV11" i="3"/>
  <c r="BZ11" i="3" s="1"/>
  <c r="CA11" i="3" s="1"/>
  <c r="BS11" i="3"/>
  <c r="BP11" i="3"/>
  <c r="BM11" i="3"/>
  <c r="BJ11" i="3"/>
  <c r="BV167" i="3"/>
  <c r="BZ167" i="3" s="1"/>
  <c r="CA167" i="3" s="1"/>
  <c r="BV168" i="3"/>
  <c r="BZ168" i="3" s="1"/>
  <c r="CA168" i="3" s="1"/>
  <c r="BV169" i="3"/>
  <c r="BZ169" i="3" s="1"/>
  <c r="CA169" i="3" s="1"/>
  <c r="BV170" i="3"/>
  <c r="BZ170" i="3" s="1"/>
  <c r="CA170" i="3" s="1"/>
  <c r="BV171" i="3"/>
  <c r="BZ171" i="3" s="1"/>
  <c r="CA171" i="3" s="1"/>
  <c r="BV172" i="3"/>
  <c r="BZ172" i="3" s="1"/>
  <c r="CA172" i="3" s="1"/>
  <c r="BV173" i="3"/>
  <c r="BZ173" i="3" s="1"/>
  <c r="CA173" i="3" s="1"/>
  <c r="BV174" i="3"/>
  <c r="BZ174" i="3" s="1"/>
  <c r="CA174" i="3" s="1"/>
  <c r="BV175" i="3"/>
  <c r="BZ175" i="3" s="1"/>
  <c r="CA175" i="3" s="1"/>
  <c r="BV176" i="3"/>
  <c r="BZ176" i="3" s="1"/>
  <c r="CA176" i="3" s="1"/>
  <c r="BV177" i="3"/>
  <c r="BZ177" i="3" s="1"/>
  <c r="CA177" i="3" s="1"/>
  <c r="BV178" i="3"/>
  <c r="BZ178" i="3" s="1"/>
  <c r="CA178" i="3" s="1"/>
  <c r="BV179" i="3"/>
  <c r="BZ179" i="3" s="1"/>
  <c r="CA179" i="3" s="1"/>
  <c r="BV180" i="3"/>
  <c r="BZ180" i="3" s="1"/>
  <c r="CA180" i="3" s="1"/>
  <c r="BV181" i="3"/>
  <c r="BZ181" i="3" s="1"/>
  <c r="CA181" i="3" s="1"/>
  <c r="BV182" i="3"/>
  <c r="BZ182" i="3" s="1"/>
  <c r="CA182" i="3" s="1"/>
  <c r="BG167" i="3"/>
  <c r="BJ167" i="3"/>
  <c r="BM167" i="3"/>
  <c r="BP167" i="3"/>
  <c r="BS167" i="3"/>
  <c r="BG168" i="3"/>
  <c r="BJ168" i="3"/>
  <c r="BM168" i="3"/>
  <c r="BP168" i="3"/>
  <c r="BS168" i="3"/>
  <c r="BG169" i="3"/>
  <c r="BJ169" i="3"/>
  <c r="BM169" i="3"/>
  <c r="BP169" i="3"/>
  <c r="BS169" i="3"/>
  <c r="BG170" i="3"/>
  <c r="BJ170" i="3"/>
  <c r="BM170" i="3"/>
  <c r="BP170" i="3"/>
  <c r="BS170" i="3"/>
  <c r="BG171" i="3"/>
  <c r="BJ171" i="3"/>
  <c r="BM171" i="3"/>
  <c r="BP171" i="3"/>
  <c r="BS171" i="3"/>
  <c r="BG172" i="3"/>
  <c r="BJ172" i="3"/>
  <c r="BM172" i="3"/>
  <c r="BP172" i="3"/>
  <c r="BS172" i="3"/>
  <c r="BG173" i="3"/>
  <c r="BJ173" i="3"/>
  <c r="BM173" i="3"/>
  <c r="BP173" i="3"/>
  <c r="BS173" i="3"/>
  <c r="BG174" i="3"/>
  <c r="BJ174" i="3"/>
  <c r="BM174" i="3"/>
  <c r="BP174" i="3"/>
  <c r="BS174" i="3"/>
  <c r="BG175" i="3"/>
  <c r="BJ175" i="3"/>
  <c r="BM175" i="3"/>
  <c r="BP175" i="3"/>
  <c r="BS175" i="3"/>
  <c r="BG176" i="3"/>
  <c r="BJ176" i="3"/>
  <c r="BM176" i="3"/>
  <c r="BP176" i="3"/>
  <c r="BS176" i="3"/>
  <c r="BG177" i="3"/>
  <c r="BJ177" i="3"/>
  <c r="BM177" i="3"/>
  <c r="BP177" i="3"/>
  <c r="BS177" i="3"/>
  <c r="BG178" i="3"/>
  <c r="BJ178" i="3"/>
  <c r="BM178" i="3"/>
  <c r="BP178" i="3"/>
  <c r="BS178" i="3"/>
  <c r="BG179" i="3"/>
  <c r="BJ179" i="3"/>
  <c r="BM179" i="3"/>
  <c r="BP179" i="3"/>
  <c r="BS179" i="3"/>
  <c r="BG180" i="3"/>
  <c r="BJ180" i="3"/>
  <c r="BM180" i="3"/>
  <c r="BP180" i="3"/>
  <c r="BS180" i="3"/>
  <c r="BG181" i="3"/>
  <c r="BJ181" i="3"/>
  <c r="BM181" i="3"/>
  <c r="BP181" i="3"/>
  <c r="BS181" i="3"/>
  <c r="BG182" i="3"/>
  <c r="BJ182" i="3"/>
  <c r="BM182" i="3"/>
  <c r="BP182" i="3"/>
  <c r="BS182" i="3"/>
  <c r="BZ9" i="3"/>
  <c r="CA9" i="3" s="1"/>
  <c r="BV8" i="3"/>
  <c r="BZ8" i="3" s="1"/>
  <c r="CA8" i="3" s="1"/>
  <c r="BS8" i="3"/>
  <c r="BP8" i="3"/>
  <c r="BM8" i="3"/>
  <c r="BJ8" i="3"/>
  <c r="BG8" i="3"/>
  <c r="BY9" i="3"/>
  <c r="BY8" i="3"/>
  <c r="AK295" i="3"/>
  <c r="F48" i="11"/>
  <c r="L54" i="11" s="1"/>
  <c r="AK293" i="3"/>
  <c r="AK329" i="3"/>
  <c r="AK220" i="3"/>
  <c r="AK201" i="3"/>
  <c r="AK177" i="3"/>
  <c r="AK60" i="3"/>
  <c r="AK108" i="3"/>
  <c r="AK159" i="3"/>
  <c r="AK175" i="3"/>
  <c r="AK185" i="3"/>
  <c r="AK6" i="3"/>
  <c r="AK193" i="3"/>
  <c r="AK203" i="3"/>
  <c r="AK306" i="3"/>
  <c r="AK311" i="3"/>
  <c r="AK272" i="3"/>
  <c r="AK335" i="3"/>
  <c r="AK291" i="3"/>
  <c r="AK232" i="3"/>
  <c r="F47" i="9" s="1"/>
  <c r="L54" i="9" s="1"/>
  <c r="G4" i="10"/>
  <c r="N42" i="10"/>
  <c r="N42" i="9"/>
  <c r="N41" i="9"/>
  <c r="N40" i="9"/>
  <c r="N39" i="9"/>
  <c r="O37" i="9"/>
  <c r="E18" i="11"/>
  <c r="D18" i="11"/>
  <c r="C18" i="11"/>
  <c r="E17" i="11"/>
  <c r="D17" i="11"/>
  <c r="C17" i="11"/>
  <c r="E17" i="9"/>
  <c r="E18" i="9"/>
  <c r="D18" i="9"/>
  <c r="C18" i="9"/>
  <c r="C17" i="9"/>
  <c r="D17" i="9"/>
  <c r="E18" i="1"/>
  <c r="D18" i="1"/>
  <c r="C18" i="1"/>
  <c r="E17" i="1"/>
  <c r="D17" i="1"/>
  <c r="C17" i="1"/>
  <c r="E16" i="1"/>
  <c r="D16" i="1"/>
  <c r="C16" i="1"/>
  <c r="E18" i="10"/>
  <c r="D18" i="10"/>
  <c r="C18" i="10"/>
  <c r="E17" i="10"/>
  <c r="D17" i="10"/>
  <c r="C17" i="10"/>
  <c r="C28" i="9"/>
  <c r="G28" i="9" s="1"/>
  <c r="C43" i="9"/>
  <c r="G43" i="9" s="1"/>
  <c r="C42" i="9"/>
  <c r="G42" i="9" s="1"/>
  <c r="C41" i="9"/>
  <c r="G41" i="9" s="1"/>
  <c r="C40" i="9"/>
  <c r="G40" i="9" s="1"/>
  <c r="C39" i="9"/>
  <c r="G39" i="9" s="1"/>
  <c r="C38" i="9"/>
  <c r="G38" i="9" s="1"/>
  <c r="C37" i="9"/>
  <c r="G37" i="9" s="1"/>
  <c r="C36" i="9"/>
  <c r="G36" i="9" s="1"/>
  <c r="C35" i="9"/>
  <c r="G35" i="9" s="1"/>
  <c r="C34" i="9"/>
  <c r="G34" i="9" s="1"/>
  <c r="C33" i="9"/>
  <c r="G33" i="9" s="1"/>
  <c r="C32" i="9"/>
  <c r="G32" i="9" s="1"/>
  <c r="C31" i="9"/>
  <c r="G31" i="9" s="1"/>
  <c r="C30" i="9"/>
  <c r="G30" i="9" s="1"/>
  <c r="C29" i="9"/>
  <c r="G29" i="9" s="1"/>
  <c r="O37" i="10"/>
  <c r="N23" i="1"/>
  <c r="F50" i="1"/>
  <c r="F49" i="1"/>
  <c r="F48" i="1"/>
  <c r="C43" i="1"/>
  <c r="G43" i="1" s="1"/>
  <c r="C42" i="1"/>
  <c r="G42" i="1" s="1"/>
  <c r="C41" i="1"/>
  <c r="G41" i="1" s="1"/>
  <c r="C40" i="1"/>
  <c r="G40" i="1" s="1"/>
  <c r="C39" i="1"/>
  <c r="G39" i="1" s="1"/>
  <c r="C38" i="1"/>
  <c r="G38" i="1" s="1"/>
  <c r="C37" i="1"/>
  <c r="G37" i="1" s="1"/>
  <c r="C36" i="1"/>
  <c r="G36" i="1" s="1"/>
  <c r="C35" i="1"/>
  <c r="G35" i="1" s="1"/>
  <c r="C34" i="1"/>
  <c r="G34" i="1" s="1"/>
  <c r="C33" i="1"/>
  <c r="G33" i="1" s="1"/>
  <c r="C32" i="1"/>
  <c r="G32" i="1" s="1"/>
  <c r="C31" i="1"/>
  <c r="G31" i="1" s="1"/>
  <c r="C30" i="1"/>
  <c r="G30" i="1" s="1"/>
  <c r="C29" i="1"/>
  <c r="G29" i="1" s="1"/>
  <c r="C28" i="1"/>
  <c r="G28" i="1" s="1"/>
  <c r="F48" i="10"/>
  <c r="F49" i="10"/>
  <c r="F50" i="10"/>
  <c r="C28" i="10"/>
  <c r="G28" i="10" s="1"/>
  <c r="C30" i="10"/>
  <c r="G30" i="10" s="1"/>
  <c r="C31" i="10"/>
  <c r="G31" i="10" s="1"/>
  <c r="C32" i="10"/>
  <c r="G32" i="10" s="1"/>
  <c r="C33" i="10"/>
  <c r="G33" i="10" s="1"/>
  <c r="C34" i="10"/>
  <c r="G34" i="10" s="1"/>
  <c r="C35" i="10"/>
  <c r="G35" i="10" s="1"/>
  <c r="C36" i="10"/>
  <c r="G36" i="10" s="1"/>
  <c r="C37" i="10"/>
  <c r="G37" i="10" s="1"/>
  <c r="C38" i="10"/>
  <c r="G38" i="10" s="1"/>
  <c r="C39" i="10"/>
  <c r="G39" i="10" s="1"/>
  <c r="C40" i="10"/>
  <c r="G40" i="10" s="1"/>
  <c r="C41" i="10"/>
  <c r="G41" i="10" s="1"/>
  <c r="C42" i="10"/>
  <c r="G42" i="10" s="1"/>
  <c r="C43" i="10"/>
  <c r="G43" i="10" s="1"/>
  <c r="C29" i="10"/>
  <c r="G29" i="10" s="1"/>
  <c r="F49" i="11"/>
  <c r="F50" i="11"/>
  <c r="C29" i="11"/>
  <c r="G29" i="11" s="1"/>
  <c r="C30" i="11"/>
  <c r="G30" i="11" s="1"/>
  <c r="C31" i="11"/>
  <c r="G31" i="11" s="1"/>
  <c r="C32" i="11"/>
  <c r="G32" i="11" s="1"/>
  <c r="C33" i="11"/>
  <c r="G33" i="11" s="1"/>
  <c r="C34" i="11"/>
  <c r="G34" i="11" s="1"/>
  <c r="C35" i="11"/>
  <c r="G35" i="11" s="1"/>
  <c r="C36" i="11"/>
  <c r="G36" i="11" s="1"/>
  <c r="C37" i="11"/>
  <c r="G37" i="11" s="1"/>
  <c r="C38" i="11"/>
  <c r="G38" i="11" s="1"/>
  <c r="C39" i="11"/>
  <c r="G39" i="11" s="1"/>
  <c r="C40" i="11"/>
  <c r="G40" i="11" s="1"/>
  <c r="C41" i="11"/>
  <c r="G41" i="11" s="1"/>
  <c r="C42" i="11"/>
  <c r="G42" i="11" s="1"/>
  <c r="C43" i="11"/>
  <c r="G43" i="11" s="1"/>
  <c r="C28" i="11"/>
  <c r="G28" i="11" s="1"/>
  <c r="F50" i="9"/>
  <c r="F49" i="9"/>
  <c r="F48" i="9"/>
  <c r="O24" i="10"/>
  <c r="O60" i="11"/>
  <c r="O59" i="11"/>
  <c r="L55" i="11"/>
  <c r="N54" i="11"/>
  <c r="F44" i="11"/>
  <c r="N39" i="11"/>
  <c r="N40" i="11"/>
  <c r="O24" i="11"/>
  <c r="N23" i="11"/>
  <c r="L23" i="11"/>
  <c r="F20" i="11"/>
  <c r="F19" i="11"/>
  <c r="N9" i="11"/>
  <c r="N40" i="10"/>
  <c r="N39" i="10"/>
  <c r="O60" i="10"/>
  <c r="N54" i="10"/>
  <c r="F44" i="10"/>
  <c r="N23" i="10"/>
  <c r="L23" i="10"/>
  <c r="F20" i="10"/>
  <c r="G18" i="10" s="1"/>
  <c r="F19" i="10"/>
  <c r="N9" i="10"/>
  <c r="O60" i="9"/>
  <c r="O59" i="9"/>
  <c r="L55" i="9"/>
  <c r="F44" i="9"/>
  <c r="O24" i="9"/>
  <c r="N23" i="9"/>
  <c r="L23" i="9"/>
  <c r="F20" i="9"/>
  <c r="G13" i="9"/>
  <c r="F19" i="9"/>
  <c r="N9" i="9"/>
  <c r="G4" i="9"/>
  <c r="L55" i="1"/>
  <c r="O32" i="7"/>
  <c r="N9" i="1"/>
  <c r="O24" i="1"/>
  <c r="L23" i="1"/>
  <c r="N54" i="1"/>
  <c r="O59" i="1"/>
  <c r="O60" i="1"/>
  <c r="F19" i="1"/>
  <c r="F20" i="1"/>
  <c r="G13" i="1"/>
  <c r="F44" i="1"/>
  <c r="G18" i="11"/>
  <c r="G10" i="11"/>
  <c r="G15" i="11"/>
  <c r="G17" i="11"/>
  <c r="G12" i="11"/>
  <c r="G14" i="11"/>
  <c r="G16" i="11"/>
  <c r="G13" i="11"/>
  <c r="G11" i="11"/>
  <c r="G16" i="9"/>
  <c r="G18" i="9"/>
  <c r="G12" i="9"/>
  <c r="G11" i="9"/>
  <c r="G14" i="9"/>
  <c r="G12" i="10"/>
  <c r="G10" i="9"/>
  <c r="G15" i="9"/>
  <c r="G17" i="9"/>
  <c r="G17" i="1"/>
  <c r="G10" i="1"/>
  <c r="G16" i="1"/>
  <c r="G12" i="1"/>
  <c r="G11" i="1"/>
  <c r="G14" i="1"/>
  <c r="G18" i="1"/>
  <c r="G15" i="1"/>
  <c r="G19" i="11"/>
  <c r="G20" i="11"/>
  <c r="G19" i="9"/>
  <c r="G20" i="9"/>
  <c r="G20" i="1"/>
  <c r="G19" i="1"/>
  <c r="D33" i="7"/>
  <c r="J32" i="7"/>
  <c r="D32" i="7"/>
  <c r="D31" i="7"/>
  <c r="D30" i="7"/>
  <c r="I29" i="7"/>
  <c r="D29" i="7"/>
  <c r="D28" i="7"/>
  <c r="P27" i="7"/>
  <c r="Q27" i="7"/>
  <c r="Q26" i="7"/>
  <c r="P26" i="7"/>
  <c r="P25" i="7"/>
  <c r="Q25" i="7"/>
  <c r="C25" i="7"/>
  <c r="D25" i="7"/>
  <c r="P24" i="7"/>
  <c r="Q24" i="7"/>
  <c r="D24" i="7"/>
  <c r="I23" i="7"/>
  <c r="I24" i="7" s="1"/>
  <c r="D23" i="7"/>
  <c r="C20" i="7"/>
  <c r="C19" i="7"/>
  <c r="Q18" i="7"/>
  <c r="P18" i="7"/>
  <c r="C18" i="7"/>
  <c r="C17" i="7"/>
  <c r="J16" i="7"/>
  <c r="J14" i="7"/>
  <c r="J15" i="7"/>
  <c r="C14" i="7"/>
  <c r="J13" i="7"/>
  <c r="C13" i="7"/>
  <c r="K12" i="7"/>
  <c r="J12" i="7"/>
  <c r="I11" i="7"/>
  <c r="I10" i="7"/>
  <c r="I7" i="7"/>
  <c r="K6" i="7"/>
  <c r="K10" i="7"/>
  <c r="J6" i="7"/>
  <c r="H9" i="7"/>
  <c r="C10" i="7"/>
  <c r="D10" i="7" s="1"/>
  <c r="K5" i="7"/>
  <c r="K16" i="7"/>
  <c r="I16" i="7"/>
  <c r="C9" i="7"/>
  <c r="D9" i="7" s="1"/>
  <c r="C8" i="7"/>
  <c r="D8" i="7" s="1"/>
  <c r="G4" i="1"/>
  <c r="I12" i="7"/>
  <c r="I14" i="7"/>
  <c r="I15" i="7"/>
  <c r="H11" i="7"/>
  <c r="K9" i="7"/>
  <c r="K11" i="7"/>
  <c r="H10" i="7"/>
  <c r="K14" i="7"/>
  <c r="K15" i="7"/>
  <c r="J8" i="7"/>
  <c r="K13" i="7"/>
  <c r="I13" i="7"/>
  <c r="H12" i="7"/>
  <c r="H16" i="7"/>
  <c r="H14" i="7"/>
  <c r="J11" i="7"/>
  <c r="J9" i="7"/>
  <c r="J10" i="7"/>
  <c r="H15" i="7"/>
  <c r="H13" i="7"/>
  <c r="G11" i="10" l="1"/>
  <c r="G14" i="10"/>
  <c r="G15" i="10"/>
  <c r="G17" i="10"/>
  <c r="G10" i="10"/>
  <c r="G13" i="10"/>
  <c r="G16" i="10"/>
  <c r="H26" i="22"/>
  <c r="M31" i="22" s="1"/>
  <c r="H41" i="22" s="1"/>
  <c r="H26" i="20"/>
  <c r="M58" i="20" s="1"/>
  <c r="D5" i="20" s="1"/>
  <c r="G4" i="20" s="1"/>
  <c r="H25" i="22"/>
  <c r="M21" i="22" s="1"/>
  <c r="T22" i="22"/>
  <c r="M17" i="22"/>
  <c r="E26" i="22"/>
  <c r="D6" i="22" s="1"/>
  <c r="F26" i="22"/>
  <c r="N33" i="22" s="1"/>
  <c r="D25" i="22"/>
  <c r="N17" i="22"/>
  <c r="D24" i="22"/>
  <c r="D26" i="22"/>
  <c r="T48" i="22"/>
  <c r="T49" i="22" s="1"/>
  <c r="G55" i="19"/>
  <c r="M53" i="19" s="1"/>
  <c r="E55" i="19"/>
  <c r="M19" i="20"/>
  <c r="E26" i="20"/>
  <c r="D6" i="20" s="1"/>
  <c r="H25" i="20"/>
  <c r="G26" i="19"/>
  <c r="T22" i="19" s="1"/>
  <c r="BZ12" i="3"/>
  <c r="CA12" i="3" s="1"/>
  <c r="G26" i="20"/>
  <c r="T22" i="20" s="1"/>
  <c r="F26" i="20"/>
  <c r="M37" i="20" s="1"/>
  <c r="P64" i="20"/>
  <c r="D26" i="20"/>
  <c r="D25" i="20"/>
  <c r="D24" i="20"/>
  <c r="N19" i="20"/>
  <c r="E26" i="19"/>
  <c r="D6" i="19" s="1"/>
  <c r="M17" i="19"/>
  <c r="D25" i="19"/>
  <c r="D26" i="19"/>
  <c r="N17" i="19"/>
  <c r="H26" i="19"/>
  <c r="G4" i="19" s="1"/>
  <c r="H25" i="19"/>
  <c r="F26" i="19"/>
  <c r="M17" i="17"/>
  <c r="T48" i="17"/>
  <c r="T49" i="17" s="1"/>
  <c r="F26" i="17"/>
  <c r="M33" i="17" s="1"/>
  <c r="G26" i="17"/>
  <c r="T22" i="17" s="1"/>
  <c r="H25" i="17"/>
  <c r="H26" i="17"/>
  <c r="M52" i="17" s="1"/>
  <c r="D19" i="17"/>
  <c r="N17" i="17"/>
  <c r="D11" i="17"/>
  <c r="D22" i="17"/>
  <c r="D21" i="17"/>
  <c r="D16" i="17"/>
  <c r="D17" i="17"/>
  <c r="D13" i="17"/>
  <c r="D15" i="17"/>
  <c r="D23" i="17"/>
  <c r="D10" i="17"/>
  <c r="D18" i="17"/>
  <c r="D12" i="17"/>
  <c r="D20" i="17"/>
  <c r="D14" i="17"/>
  <c r="E26" i="17"/>
  <c r="D6" i="17" s="1"/>
  <c r="F47" i="1"/>
  <c r="L54" i="1" s="1"/>
  <c r="F47" i="10"/>
  <c r="L54" i="10" s="1"/>
  <c r="F47" i="11"/>
  <c r="C19" i="10"/>
  <c r="D19" i="11"/>
  <c r="F47" i="13"/>
  <c r="L54" i="13" s="1"/>
  <c r="F47" i="14"/>
  <c r="L54" i="14" s="1"/>
  <c r="F47" i="15"/>
  <c r="L54" i="15" s="1"/>
  <c r="C19" i="13"/>
  <c r="C20" i="14"/>
  <c r="E6" i="14" s="1"/>
  <c r="D19" i="14"/>
  <c r="E19" i="10"/>
  <c r="W21" i="10" s="1"/>
  <c r="C19" i="9"/>
  <c r="E20" i="11"/>
  <c r="E20" i="14"/>
  <c r="D20" i="1"/>
  <c r="L17" i="1" s="1"/>
  <c r="E20" i="13"/>
  <c r="C20" i="13"/>
  <c r="E6" i="13" s="1"/>
  <c r="G44" i="10"/>
  <c r="E7" i="10" s="1"/>
  <c r="G6" i="10" s="1"/>
  <c r="E20" i="1"/>
  <c r="C19" i="11"/>
  <c r="C20" i="11"/>
  <c r="E6" i="11" s="1"/>
  <c r="E20" i="10"/>
  <c r="D19" i="10"/>
  <c r="C20" i="1"/>
  <c r="E6" i="1" s="1"/>
  <c r="D19" i="9"/>
  <c r="E19" i="11"/>
  <c r="W21" i="11" s="1"/>
  <c r="D20" i="11"/>
  <c r="N17" i="11" s="1"/>
  <c r="C7" i="11" s="1"/>
  <c r="D19" i="1"/>
  <c r="C19" i="14"/>
  <c r="E19" i="14"/>
  <c r="W21" i="14" s="1"/>
  <c r="E19" i="9"/>
  <c r="W21" i="9" s="1"/>
  <c r="D20" i="14"/>
  <c r="N17" i="14" s="1"/>
  <c r="C20" i="10"/>
  <c r="E6" i="10" s="1"/>
  <c r="E19" i="1"/>
  <c r="W21" i="1" s="1"/>
  <c r="D19" i="13"/>
  <c r="C20" i="9"/>
  <c r="E6" i="9" s="1"/>
  <c r="E19" i="13"/>
  <c r="W21" i="13" s="1"/>
  <c r="G44" i="14"/>
  <c r="E7" i="14" s="1"/>
  <c r="G6" i="14" s="1"/>
  <c r="G44" i="1"/>
  <c r="E7" i="1" s="1"/>
  <c r="G44" i="13"/>
  <c r="E7" i="13" s="1"/>
  <c r="G44" i="11"/>
  <c r="E7" i="11" s="1"/>
  <c r="R18" i="7"/>
  <c r="G44" i="9"/>
  <c r="E7" i="9" s="1"/>
  <c r="D20" i="9"/>
  <c r="D20" i="10"/>
  <c r="E20" i="9"/>
  <c r="C19" i="1"/>
  <c r="D20" i="13"/>
  <c r="G12" i="15"/>
  <c r="G14" i="15"/>
  <c r="G10" i="15"/>
  <c r="G18" i="15"/>
  <c r="G16" i="15"/>
  <c r="G11" i="15"/>
  <c r="G13" i="15"/>
  <c r="G15" i="15"/>
  <c r="C20" i="15"/>
  <c r="E6" i="15" s="1"/>
  <c r="E20" i="15"/>
  <c r="E19" i="15"/>
  <c r="W21" i="15" s="1"/>
  <c r="G44" i="15"/>
  <c r="E7" i="15" s="1"/>
  <c r="G7" i="15" s="1"/>
  <c r="C19" i="15"/>
  <c r="G20" i="10" l="1"/>
  <c r="G19" i="10"/>
  <c r="D4" i="22"/>
  <c r="G4" i="22" s="1"/>
  <c r="M54" i="22"/>
  <c r="H46" i="22"/>
  <c r="H43" i="22"/>
  <c r="H36" i="22"/>
  <c r="H42" i="22"/>
  <c r="H38" i="22"/>
  <c r="H47" i="22"/>
  <c r="H49" i="22"/>
  <c r="H40" i="22"/>
  <c r="H45" i="22"/>
  <c r="H51" i="22"/>
  <c r="H37" i="22"/>
  <c r="H50" i="22"/>
  <c r="H48" i="22"/>
  <c r="H44" i="22"/>
  <c r="H39" i="22"/>
  <c r="M60" i="20"/>
  <c r="N59" i="20"/>
  <c r="N53" i="17"/>
  <c r="M54" i="17"/>
  <c r="M33" i="22"/>
  <c r="N37" i="20"/>
  <c r="G7" i="20"/>
  <c r="G6" i="20"/>
  <c r="G6" i="19"/>
  <c r="M33" i="19"/>
  <c r="N33" i="19"/>
  <c r="G7" i="19"/>
  <c r="D4" i="17"/>
  <c r="G6" i="17" s="1"/>
  <c r="D25" i="17"/>
  <c r="N33" i="17"/>
  <c r="D24" i="17"/>
  <c r="D26" i="17"/>
  <c r="L17" i="11"/>
  <c r="N17" i="1"/>
  <c r="C7" i="1" s="1"/>
  <c r="N33" i="1"/>
  <c r="G7" i="14"/>
  <c r="G7" i="10"/>
  <c r="N33" i="11"/>
  <c r="L17" i="14"/>
  <c r="N33" i="14"/>
  <c r="G7" i="11"/>
  <c r="G6" i="11"/>
  <c r="N17" i="9"/>
  <c r="C7" i="9" s="1"/>
  <c r="L17" i="9"/>
  <c r="N33" i="9"/>
  <c r="N33" i="13"/>
  <c r="L17" i="13"/>
  <c r="N17" i="13"/>
  <c r="C7" i="13" s="1"/>
  <c r="G6" i="9"/>
  <c r="G7" i="9"/>
  <c r="G7" i="13"/>
  <c r="G6" i="13"/>
  <c r="N17" i="10"/>
  <c r="C7" i="10" s="1"/>
  <c r="L17" i="10"/>
  <c r="N33" i="10"/>
  <c r="G6" i="1"/>
  <c r="G7" i="1"/>
  <c r="G20" i="15"/>
  <c r="D19" i="15"/>
  <c r="G19" i="15"/>
  <c r="D20" i="15"/>
  <c r="G6" i="15"/>
  <c r="H52" i="22" l="1"/>
  <c r="D7" i="22" s="1"/>
  <c r="G7" i="22" s="1"/>
  <c r="G7" i="17"/>
  <c r="G4" i="17"/>
  <c r="N33" i="15"/>
  <c r="N17" i="15"/>
  <c r="C7" i="15" s="1"/>
  <c r="L17" i="15"/>
  <c r="G6" i="22"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David MELE</author>
  </authors>
  <commentList>
    <comment ref="R3" authorId="0" shapeId="0" xr:uid="{04F25FD1-183A-4EF5-A193-9B56254BE083}">
      <text>
        <r>
          <rPr>
            <b/>
            <sz val="9"/>
            <color indexed="81"/>
            <rFont val="Tahoma"/>
            <family val="2"/>
          </rPr>
          <t>David MELE:</t>
        </r>
        <r>
          <rPr>
            <sz val="9"/>
            <color indexed="81"/>
            <rFont val="Tahoma"/>
            <family val="2"/>
          </rPr>
          <t xml:space="preserve">
à charger depuis https://www.moneaudebrassage.fr/ </t>
        </r>
      </text>
    </comment>
    <comment ref="S3" authorId="0" shapeId="0" xr:uid="{1F41EFC5-44D3-453E-820E-1A1391D9CA18}">
      <text>
        <r>
          <rPr>
            <sz val="9"/>
            <color indexed="81"/>
            <rFont val="Tahoma"/>
            <family val="2"/>
          </rPr>
          <t>Renforce le coté malté et accentue la douceur de la bière.</t>
        </r>
      </text>
    </comment>
    <comment ref="T3" authorId="0" shapeId="0" xr:uid="{3B427057-712E-48E7-B97A-1AD6CF5721EC}">
      <text>
        <r>
          <rPr>
            <sz val="9"/>
            <color indexed="81"/>
            <rFont val="Tahoma"/>
            <family val="2"/>
          </rPr>
          <t>Accentue l'amertume et la sécheresse de la bière, mettant en valeur les arômes de houblon.</t>
        </r>
      </text>
    </comment>
    <comment ref="U3" authorId="0" shapeId="0" xr:uid="{F8FC0755-211C-4011-B84A-3EB3B29FDB0B}">
      <text>
        <r>
          <rPr>
            <sz val="9"/>
            <color indexed="81"/>
            <rFont val="Tahoma"/>
            <family val="2"/>
          </rPr>
          <t>déterminela dureté de l’eau. Il améliore la clarté, le goût ainsi que la stabilité de la bière. Il apporte également des nutriments pour les levure</t>
        </r>
      </text>
    </comment>
    <comment ref="V3" authorId="0" shapeId="0" xr:uid="{6F836452-3996-48AD-9C12-6F026F75EAE1}">
      <text>
        <r>
          <rPr>
            <sz val="9"/>
            <color indexed="81"/>
            <rFont val="Tahoma"/>
            <family val="2"/>
          </rPr>
          <t>Stimule la fermentation en activant les enzymes de la levure.</t>
        </r>
      </text>
    </comment>
    <comment ref="W3" authorId="0" shapeId="0" xr:uid="{3148A2C0-D5CE-458D-A186-89635DEEB784}">
      <text>
        <r>
          <rPr>
            <sz val="9"/>
            <color indexed="81"/>
            <rFont val="Tahoma"/>
            <family val="2"/>
          </rPr>
          <t>contribue au « corps de la bière » en accentuant la douceur du malt et la rondeur en bouche.</t>
        </r>
      </text>
    </comment>
    <comment ref="X3" authorId="0" shapeId="0" xr:uid="{FE85203A-3ED9-4386-AE38-77E54CA2E2A1}">
      <text>
        <r>
          <rPr>
            <sz val="9"/>
            <color indexed="81"/>
            <rFont val="Tahoma"/>
            <family val="2"/>
          </rPr>
          <t>participe à l’alcalinité de l’eau et stabilise le pH en compensant l’acidité naturelle du malt. L’ébullition et/ou la dilution permettent de diminuer sa concentration dans l’eau. En excès peut donner un goût savonneux.</t>
        </r>
      </text>
    </comment>
    <comment ref="Z5" authorId="0" shapeId="0" xr:uid="{D8C1CB14-0A24-4652-833D-D0BF230E1CA3}">
      <text>
        <r>
          <rPr>
            <sz val="9"/>
            <color indexed="81"/>
            <rFont val="Tahoma"/>
            <family val="2"/>
          </rPr>
          <t>&lt;0,4 : Trop malté
0,4-0,6 : Trop malté
0,6-0,8 : Malté (German lager)
0,8-1,5 : Equilibré
1,5-2,0 : Un peu d'amertume
2,0-4,0 : Amer (IPA)
4,0-9,0 : Très amer (DIPA)
&gt;9,0 : Trop amer</t>
        </r>
      </text>
    </comment>
    <comment ref="G6" authorId="0" shapeId="0" xr:uid="{8DFE48CD-0022-4CF2-98CF-68E44781C023}">
      <text>
        <r>
          <rPr>
            <b/>
            <sz val="9"/>
            <color indexed="81"/>
            <rFont val="Tahoma"/>
            <family val="2"/>
          </rPr>
          <t>Avant Fermentation</t>
        </r>
        <r>
          <rPr>
            <sz val="9"/>
            <color indexed="81"/>
            <rFont val="Tahoma"/>
            <family val="2"/>
          </rPr>
          <t xml:space="preserve">
&lt; 0,5 très douce / maltée
0,5 – 0,65 équilibrée
0,65 – 0,8 amertume présente
0,8 – 1,0 amère
&gt; 1,0 très amère</t>
        </r>
      </text>
    </comment>
    <comment ref="G7" authorId="0" shapeId="0" xr:uid="{192682E5-5665-483B-B333-318184885F2E}">
      <text>
        <r>
          <rPr>
            <b/>
            <sz val="9"/>
            <color indexed="81"/>
            <rFont val="Tahoma"/>
            <family val="2"/>
          </rPr>
          <t>Après fermentation</t>
        </r>
        <r>
          <rPr>
            <sz val="9"/>
            <color indexed="81"/>
            <rFont val="Tahoma"/>
            <family val="2"/>
          </rPr>
          <t xml:space="preserve">
&lt; 5 très douce / maltée
5 – 7 équilibrée
7 – 9 amertume modérée
9 – 11 amère
&gt; 11 très amère / sèche</t>
        </r>
      </text>
    </comment>
    <comment ref="M8" authorId="0" shapeId="0" xr:uid="{0D09110A-5654-4354-806E-16BD95BB8AF3}">
      <text>
        <r>
          <rPr>
            <b/>
            <sz val="9"/>
            <color indexed="81"/>
            <rFont val="Tahoma"/>
            <family val="2"/>
          </rPr>
          <t xml:space="preserve">A réaliser uniquement si le test à la teinture d'iode est négatif.
</t>
        </r>
        <r>
          <rPr>
            <sz val="9"/>
            <color indexed="81"/>
            <rFont val="Tahoma"/>
            <family val="2"/>
          </rPr>
          <t>Si la couleur ne change pas, tout l'amidon est converti. Si la couleur vire au rouge, violet ou bleu, alors il reste de l'amidon et il faudra prolonger l'empâtage</t>
        </r>
      </text>
    </comment>
    <comment ref="R20" authorId="0" shapeId="0" xr:uid="{DC106F07-DC86-4394-811B-908D52BB4A06}">
      <text>
        <r>
          <rPr>
            <sz val="9"/>
            <color indexed="81"/>
            <rFont val="Tahoma"/>
            <family val="2"/>
          </rPr>
          <t>Optimiser l’activité enzymatique du malt et compenser l’alcalinité élevée (HCO₃⁻) afin d’éviter un moût trop basique et un goût savonneux.</t>
        </r>
      </text>
    </comment>
    <comment ref="R22" authorId="0" shapeId="0" xr:uid="{AE8DD726-8B7D-48DA-B27A-33F4450BC50B}">
      <text>
        <r>
          <rPr>
            <sz val="9"/>
            <color indexed="81"/>
            <rFont val="Tahoma"/>
            <family val="2"/>
          </rPr>
          <t>D'après la composition des grains</t>
        </r>
      </text>
    </comment>
    <comment ref="M23" authorId="0" shapeId="0" xr:uid="{D9DD20A0-71C3-431C-98CE-0F4F78B0CB98}">
      <text>
        <r>
          <rPr>
            <b/>
            <sz val="9"/>
            <color indexed="81"/>
            <rFont val="Tahoma"/>
            <family val="2"/>
          </rPr>
          <t>David MELE:</t>
        </r>
        <r>
          <rPr>
            <sz val="9"/>
            <color indexed="81"/>
            <rFont val="Tahoma"/>
            <family val="2"/>
          </rPr>
          <t xml:space="preserve">
évaporation moyenne entre 8 et 12%/h en brassam</t>
        </r>
      </text>
    </comment>
    <comment ref="R23" authorId="0" shapeId="0" xr:uid="{4832CA33-0581-4E2D-9A8B-F69FC60EA4CC}">
      <text>
        <r>
          <rPr>
            <sz val="9"/>
            <color indexed="81"/>
            <rFont val="Tahoma"/>
            <family val="2"/>
          </rPr>
          <t>A vérifier sur mon eau de brassage ou par mesure de pH</t>
        </r>
      </text>
    </comment>
    <comment ref="G24" authorId="0" shapeId="0" xr:uid="{C3084BAD-13AF-447F-A19B-0451572E796C}">
      <text>
        <r>
          <rPr>
            <b/>
            <sz val="9"/>
            <color indexed="81"/>
            <rFont val="Tahoma"/>
            <family val="2"/>
          </rPr>
          <t>David MELE:</t>
        </r>
        <r>
          <rPr>
            <sz val="9"/>
            <color indexed="81"/>
            <rFont val="Tahoma"/>
            <family val="2"/>
          </rPr>
          <t xml:space="preserve">
Rendement expérimental du setup mesuré à partir des brassins précédents</t>
        </r>
      </text>
    </comment>
    <comment ref="H24" authorId="0" shapeId="0" xr:uid="{51F4606D-2881-4E74-8C17-D8E50E564617}">
      <text>
        <r>
          <rPr>
            <b/>
            <sz val="9"/>
            <color indexed="81"/>
            <rFont val="Tahoma"/>
            <family val="2"/>
          </rPr>
          <t>David MELE:</t>
        </r>
        <r>
          <rPr>
            <sz val="9"/>
            <color indexed="81"/>
            <rFont val="Tahoma"/>
            <family val="2"/>
          </rPr>
          <t xml:space="preserve">
Densité théorique avant et après ébulitaion basé sur des rendements empiriques</t>
        </r>
      </text>
    </comment>
    <comment ref="P24" authorId="0" shapeId="0" xr:uid="{1395C596-37E5-49E5-B619-1E7FFE11C9F8}">
      <text>
        <r>
          <rPr>
            <b/>
            <sz val="9"/>
            <color indexed="81"/>
            <rFont val="Tahoma"/>
            <family val="2"/>
          </rPr>
          <t>David MELE:</t>
        </r>
        <r>
          <rPr>
            <sz val="9"/>
            <color indexed="81"/>
            <rFont val="Tahoma"/>
            <family val="2"/>
          </rPr>
          <t xml:space="preserve">
Indiquer la densité post ébulition et ajuster le volume réel jusqu'à avoir une difference de sucre proche de zéro</t>
        </r>
      </text>
    </comment>
    <comment ref="T24" authorId="0" shapeId="0" xr:uid="{1697BC70-9744-472A-A037-C91C87FD50A5}">
      <text>
        <r>
          <rPr>
            <sz val="9"/>
            <color indexed="81"/>
            <rFont val="Tahoma"/>
            <family val="2"/>
          </rPr>
          <t>NEIPA / IPA 5,2 – 5,4
Lager / Blonde 5,3 – 5,5
Stout / Porter 5,3 – 5,5</t>
        </r>
      </text>
    </comment>
    <comment ref="U24" authorId="0" shapeId="0" xr:uid="{1D7A2EFE-248E-40FC-9B48-F7401BC90E22}">
      <text>
        <r>
          <rPr>
            <sz val="9"/>
            <color indexed="81"/>
            <rFont val="Tahoma"/>
            <family val="2"/>
          </rPr>
          <t>NEIPA / IPA 5,6 – 5,8
Lager 5,7 – 6,0
Stout / Porter 5,8 – 6,0</t>
        </r>
      </text>
    </comment>
    <comment ref="U31" authorId="0" shapeId="0" xr:uid="{03E43252-62EC-4200-A818-2AEE756C7770}">
      <text>
        <r>
          <rPr>
            <sz val="9"/>
            <color indexed="81"/>
            <rFont val="Tahoma"/>
            <family val="2"/>
          </rPr>
          <t>Au rinçage, on cherche :
pH &lt; 6
pas d’extraction de tannins
eau faiblement minéralisée</t>
        </r>
      </text>
    </comment>
    <comment ref="R38" authorId="0" shapeId="0" xr:uid="{2A31BB8E-7CD8-4A1E-89F9-684423E656A8}">
      <text>
        <r>
          <rPr>
            <sz val="9"/>
            <color indexed="81"/>
            <rFont val="Tahoma"/>
            <family val="2"/>
          </rPr>
          <t>Eviter de dépasser 400mg/L car le gout de l'acide lactique peut se faire ressentir</t>
        </r>
      </text>
    </comment>
    <comment ref="F52" authorId="0" shapeId="0" xr:uid="{3E72D079-5551-460B-A1EC-8FED17631F71}">
      <text>
        <r>
          <rPr>
            <b/>
            <sz val="9"/>
            <color indexed="81"/>
            <rFont val="Tahoma"/>
            <family val="2"/>
          </rPr>
          <t>David MELE:</t>
        </r>
        <r>
          <rPr>
            <sz val="9"/>
            <color indexed="81"/>
            <rFont val="Tahoma"/>
            <family val="2"/>
          </rPr>
          <t xml:space="preserve">
Eviter de dépasser 12g/L car risque de Hopburn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David MELE</author>
  </authors>
  <commentList>
    <comment ref="R3" authorId="0" shapeId="0" xr:uid="{4E88B81C-8DBD-48B5-A6C6-E72161118D9B}">
      <text>
        <r>
          <rPr>
            <b/>
            <sz val="9"/>
            <color indexed="81"/>
            <rFont val="Tahoma"/>
            <family val="2"/>
          </rPr>
          <t>David MELE:</t>
        </r>
        <r>
          <rPr>
            <sz val="9"/>
            <color indexed="81"/>
            <rFont val="Tahoma"/>
            <family val="2"/>
          </rPr>
          <t xml:space="preserve">
à charger depuis https://www.moneaudebrassage.fr/ </t>
        </r>
      </text>
    </comment>
    <comment ref="S3" authorId="0" shapeId="0" xr:uid="{57AE26D7-60D5-4B9C-8854-1637AE7C9022}">
      <text>
        <r>
          <rPr>
            <sz val="9"/>
            <color indexed="81"/>
            <rFont val="Tahoma"/>
            <family val="2"/>
          </rPr>
          <t>Renforce le coté malté et accentue la douceur de la bière.</t>
        </r>
      </text>
    </comment>
    <comment ref="T3" authorId="0" shapeId="0" xr:uid="{9704A077-A06A-4034-89A7-D0A0480E5D2E}">
      <text>
        <r>
          <rPr>
            <sz val="9"/>
            <color indexed="81"/>
            <rFont val="Tahoma"/>
            <family val="2"/>
          </rPr>
          <t>Accentue l'amertume et la sécheresse de la bière, mettant en valeur les arômes de houblon.</t>
        </r>
      </text>
    </comment>
    <comment ref="U3" authorId="0" shapeId="0" xr:uid="{B233D775-D0BD-4313-963F-2BB579FD9757}">
      <text>
        <r>
          <rPr>
            <sz val="9"/>
            <color indexed="81"/>
            <rFont val="Tahoma"/>
            <family val="2"/>
          </rPr>
          <t>déterminela dureté de l’eau. Il améliore la clarté, le goût ainsi que la stabilité de la bière. Il apporte également des nutriments pour les levure</t>
        </r>
      </text>
    </comment>
    <comment ref="V3" authorId="0" shapeId="0" xr:uid="{FE7E058F-20EB-4398-8F4D-D17DB7AE5542}">
      <text>
        <r>
          <rPr>
            <sz val="9"/>
            <color indexed="81"/>
            <rFont val="Tahoma"/>
            <family val="2"/>
          </rPr>
          <t>Stimule la fermentation en activant les enzymes de la levure.</t>
        </r>
      </text>
    </comment>
    <comment ref="W3" authorId="0" shapeId="0" xr:uid="{5BFF6369-7C49-4A99-B5CA-8EB9D4AF0C4D}">
      <text>
        <r>
          <rPr>
            <sz val="9"/>
            <color indexed="81"/>
            <rFont val="Tahoma"/>
            <family val="2"/>
          </rPr>
          <t>contribue au « corps de la bière » en accentuant la douceur du malt et la rondeur en bouche.</t>
        </r>
      </text>
    </comment>
    <comment ref="X3" authorId="0" shapeId="0" xr:uid="{B9F0C44D-2445-4DE6-9B29-F984D6987E09}">
      <text>
        <r>
          <rPr>
            <sz val="9"/>
            <color indexed="81"/>
            <rFont val="Tahoma"/>
            <family val="2"/>
          </rPr>
          <t>participe à l’alcalinité de l’eau et stabilise le pH en compensant l’acidité naturelle du malt. L’ébullition et/ou la dilution permettent de diminuer sa concentration dans l’eau. En excès peut donner un goût savonneux.</t>
        </r>
      </text>
    </comment>
    <comment ref="M5" authorId="0" shapeId="0" xr:uid="{E775211E-DD7B-4653-9B2C-DEF427C76A5C}">
      <text>
        <r>
          <rPr>
            <b/>
            <sz val="9"/>
            <color indexed="81"/>
            <rFont val="Tahoma"/>
            <family val="2"/>
          </rPr>
          <t xml:space="preserve">Enzymes actives : 
</t>
        </r>
        <r>
          <rPr>
            <sz val="9"/>
            <color indexed="81"/>
            <rFont val="Tahoma"/>
            <family val="2"/>
          </rPr>
          <t>protéases, peptidases</t>
        </r>
        <r>
          <rPr>
            <b/>
            <sz val="9"/>
            <color indexed="81"/>
            <rFont val="Tahoma"/>
            <family val="2"/>
          </rPr>
          <t xml:space="preserve">
Action :
</t>
        </r>
        <r>
          <rPr>
            <sz val="9"/>
            <color indexed="81"/>
            <rFont val="Tahoma"/>
            <family val="2"/>
          </rPr>
          <t>coupe les grosses protéines en peptides / acides aminés</t>
        </r>
        <r>
          <rPr>
            <b/>
            <sz val="9"/>
            <color indexed="81"/>
            <rFont val="Tahoma"/>
            <family val="2"/>
          </rPr>
          <t xml:space="preserve">
Effets :
</t>
        </r>
        <r>
          <rPr>
            <sz val="9"/>
            <color indexed="81"/>
            <rFont val="Tahoma"/>
            <family val="2"/>
          </rPr>
          <t>améliore la filtration</t>
        </r>
        <r>
          <rPr>
            <b/>
            <sz val="9"/>
            <color indexed="81"/>
            <rFont val="Tahoma"/>
            <family val="2"/>
          </rPr>
          <t xml:space="preserve">
</t>
        </r>
        <r>
          <rPr>
            <sz val="9"/>
            <color indexed="81"/>
            <rFont val="Tahoma"/>
            <family val="2"/>
          </rPr>
          <t>nourrit la levure
peut dégrader la tenue de mousse si trop long</t>
        </r>
        <r>
          <rPr>
            <b/>
            <sz val="9"/>
            <color indexed="81"/>
            <rFont val="Tahoma"/>
            <family val="2"/>
          </rPr>
          <t xml:space="preserve">
Souvent inutile avec des malts modernes bien modifiés.
</t>
        </r>
        <r>
          <rPr>
            <sz val="9"/>
            <color indexed="81"/>
            <rFont val="Tahoma"/>
            <family val="2"/>
          </rPr>
          <t xml:space="preserve">Malts pils modernes →  </t>
        </r>
        <r>
          <rPr>
            <b/>
            <sz val="9"/>
            <color indexed="81"/>
            <rFont val="Tahoma"/>
            <family val="2"/>
          </rPr>
          <t>pas de palier</t>
        </r>
        <r>
          <rPr>
            <sz val="9"/>
            <color indexed="81"/>
            <rFont val="Tahoma"/>
            <family val="2"/>
          </rPr>
          <t xml:space="preserve"> protéique
Bières fortes / sèches →  </t>
        </r>
        <r>
          <rPr>
            <b/>
            <sz val="9"/>
            <color indexed="81"/>
            <rFont val="Tahoma"/>
            <family val="2"/>
          </rPr>
          <t xml:space="preserve">long </t>
        </r>
        <r>
          <rPr>
            <sz val="9"/>
            <color indexed="81"/>
            <rFont val="Tahoma"/>
            <family val="2"/>
          </rPr>
          <t>palier à 62–63 °C (inclus dans le palier 2)
Bières troubles (blé, seigle) →  palier protéique</t>
        </r>
        <r>
          <rPr>
            <b/>
            <sz val="9"/>
            <color indexed="81"/>
            <rFont val="Tahoma"/>
            <family val="2"/>
          </rPr>
          <t xml:space="preserve"> court</t>
        </r>
        <r>
          <rPr>
            <sz val="9"/>
            <color indexed="81"/>
            <rFont val="Tahoma"/>
            <family val="2"/>
          </rPr>
          <t xml:space="preserve"> (10 min max)</t>
        </r>
      </text>
    </comment>
    <comment ref="Z5" authorId="0" shapeId="0" xr:uid="{E7216600-2C50-48A8-AAF6-32DBEDC3ED75}">
      <text>
        <r>
          <rPr>
            <sz val="9"/>
            <color indexed="81"/>
            <rFont val="Tahoma"/>
            <family val="2"/>
          </rPr>
          <t>&lt;0,4 : Trop malté
0,4-0,6 : Trop malté
0,6-0,8 : Malté (German lager)
0,8-1,5 : Equilibré
1,5-2,0 : Un peu d'amertume
2,0-4,0 : Amer (IPA)
4,0-9,0 : Très amer (DIPA)
&gt;9,0 : Trop amer</t>
        </r>
      </text>
    </comment>
    <comment ref="G6" authorId="0" shapeId="0" xr:uid="{67EB7534-F688-4D29-B3CA-75FA8C571BA4}">
      <text>
        <r>
          <rPr>
            <b/>
            <sz val="9"/>
            <color indexed="81"/>
            <rFont val="Tahoma"/>
            <family val="2"/>
          </rPr>
          <t>Avant Fermentation</t>
        </r>
        <r>
          <rPr>
            <sz val="9"/>
            <color indexed="81"/>
            <rFont val="Tahoma"/>
            <family val="2"/>
          </rPr>
          <t xml:space="preserve">
&lt; 0,5 très douce / maltée
0,5 – 0,65 équilibrée
0,65 – 0,8 amertume présente
0,8 – 1,0 amère
&gt; 1,0 très amère</t>
        </r>
      </text>
    </comment>
    <comment ref="M6" authorId="0" shapeId="0" xr:uid="{BAD0CED0-13DE-4899-B01B-E3472A2594CA}">
      <text>
        <r>
          <rPr>
            <b/>
            <sz val="9"/>
            <color indexed="81"/>
            <rFont val="Tahoma"/>
            <family val="2"/>
          </rPr>
          <t xml:space="preserve">Enzyme dominante : 
</t>
        </r>
        <r>
          <rPr>
            <sz val="9"/>
            <color indexed="81"/>
            <rFont val="Tahoma"/>
            <family val="2"/>
          </rPr>
          <t>β-amylase (62-64°C)</t>
        </r>
        <r>
          <rPr>
            <b/>
            <sz val="9"/>
            <color indexed="81"/>
            <rFont val="Tahoma"/>
            <family val="2"/>
          </rPr>
          <t xml:space="preserve">
Action :
</t>
        </r>
        <r>
          <rPr>
            <sz val="9"/>
            <color indexed="81"/>
            <rFont val="Tahoma"/>
            <family val="2"/>
          </rPr>
          <t>transforme l’amidon en sucres fermentescibles (maltose)</t>
        </r>
        <r>
          <rPr>
            <b/>
            <sz val="9"/>
            <color indexed="81"/>
            <rFont val="Tahoma"/>
            <family val="2"/>
          </rPr>
          <t xml:space="preserve">
Effets :
</t>
        </r>
        <r>
          <rPr>
            <sz val="9"/>
            <color indexed="81"/>
            <rFont val="Tahoma"/>
            <family val="2"/>
          </rPr>
          <t>bière plus sèche
alcool plus élevé
corps plus léger</t>
        </r>
        <r>
          <rPr>
            <b/>
            <sz val="9"/>
            <color indexed="81"/>
            <rFont val="Tahoma"/>
            <family val="2"/>
          </rPr>
          <t xml:space="preserve">
 C’est là que se décide la fermentabilité.</t>
        </r>
      </text>
    </comment>
    <comment ref="G7" authorId="0" shapeId="0" xr:uid="{2B6B273C-DBDF-422F-A0C8-66A40D4B7047}">
      <text>
        <r>
          <rPr>
            <b/>
            <sz val="9"/>
            <color indexed="81"/>
            <rFont val="Tahoma"/>
            <family val="2"/>
          </rPr>
          <t>Après fermentation</t>
        </r>
        <r>
          <rPr>
            <sz val="9"/>
            <color indexed="81"/>
            <rFont val="Tahoma"/>
            <family val="2"/>
          </rPr>
          <t xml:space="preserve">
&lt; 5 très douce / maltée
5 – 7 équilibrée
7 – 9 amertume modérée
9 – 11 amère
&gt; 11 très amère / sèche</t>
        </r>
      </text>
    </comment>
    <comment ref="M7" authorId="0" shapeId="0" xr:uid="{2D732D3F-5519-4B5C-B586-54EC6C0D1870}">
      <text>
        <r>
          <rPr>
            <b/>
            <sz val="9"/>
            <color indexed="81"/>
            <rFont val="Tahoma"/>
            <family val="2"/>
          </rPr>
          <t xml:space="preserve">Enzyme dominante : 
</t>
        </r>
        <r>
          <rPr>
            <sz val="9"/>
            <color indexed="81"/>
            <rFont val="Tahoma"/>
            <family val="2"/>
          </rPr>
          <t>α-amylase (≈ 68–72 °C)</t>
        </r>
        <r>
          <rPr>
            <b/>
            <sz val="9"/>
            <color indexed="81"/>
            <rFont val="Tahoma"/>
            <family val="2"/>
          </rPr>
          <t xml:space="preserve">
Action
</t>
        </r>
        <r>
          <rPr>
            <sz val="9"/>
            <color indexed="81"/>
            <rFont val="Tahoma"/>
            <family val="2"/>
          </rPr>
          <t>Activation ciblée des enzymes (β-amylase, α-amylase…)
Transformation de l’amidon en sucres</t>
        </r>
        <r>
          <rPr>
            <b/>
            <sz val="9"/>
            <color indexed="81"/>
            <rFont val="Tahoma"/>
            <family val="2"/>
          </rPr>
          <t xml:space="preserve">
Effets
</t>
        </r>
        <r>
          <rPr>
            <sz val="9"/>
            <color indexed="81"/>
            <rFont val="Tahoma"/>
            <family val="2"/>
          </rPr>
          <t>Détermine la fermentabilité du moût
Influence : le degré alcoolique, le corps, la sécheresse de la bière</t>
        </r>
        <r>
          <rPr>
            <b/>
            <sz val="9"/>
            <color indexed="81"/>
            <rFont val="Tahoma"/>
            <family val="2"/>
          </rPr>
          <t xml:space="preserve">
</t>
        </r>
      </text>
    </comment>
    <comment ref="M8" authorId="0" shapeId="0" xr:uid="{61C9E26A-D98F-47CB-8B43-E67636C2EFCE}">
      <text>
        <r>
          <rPr>
            <sz val="9"/>
            <color indexed="81"/>
            <rFont val="Tahoma"/>
            <family val="2"/>
          </rPr>
          <t xml:space="preserve">75–78 °C: 
</t>
        </r>
        <r>
          <rPr>
            <b/>
            <sz val="9"/>
            <color indexed="81"/>
            <rFont val="Tahoma"/>
            <family val="2"/>
          </rPr>
          <t>Arrêt de l’activité enzymatiqu</t>
        </r>
        <r>
          <rPr>
            <sz val="9"/>
            <color indexed="81"/>
            <rFont val="Tahoma"/>
            <family val="2"/>
          </rPr>
          <t xml:space="preserve">e + fluidification du moût
</t>
        </r>
        <r>
          <rPr>
            <b/>
            <sz val="9"/>
            <color indexed="81"/>
            <rFont val="Tahoma"/>
            <family val="2"/>
          </rPr>
          <t>Effets</t>
        </r>
        <r>
          <rPr>
            <sz val="9"/>
            <color indexed="81"/>
            <rFont val="Tahoma"/>
            <family val="2"/>
          </rPr>
          <t xml:space="preserve">
Fige la composition en sucres du moût
Empêche toute évolution ultérieure du profil
Fluidifie le moût
Améliore la filtration et le rinçage
A réaliser uniquement si le test à la teinture d'iode est négatif.
Si la couleur ne change pas, tout l'amidon est converti. Si la couleur vire au rouge, violet ou bleu, alors il reste de l'amidon et il faudra prolonger l'empâtage</t>
        </r>
      </text>
    </comment>
    <comment ref="R20" authorId="0" shapeId="0" xr:uid="{766946D8-D4EA-48D6-ABBC-D9C33FE93025}">
      <text>
        <r>
          <rPr>
            <sz val="9"/>
            <color indexed="81"/>
            <rFont val="Tahoma"/>
            <family val="2"/>
          </rPr>
          <t>Optimiser l’activité enzymatique du malt et compenser l’alcalinité élevée (HCO₃⁻) afin d’éviter un moût trop basique et un goût savonneux.</t>
        </r>
      </text>
    </comment>
    <comment ref="R22" authorId="0" shapeId="0" xr:uid="{F6522329-B739-498E-ACA6-1606B2DBD964}">
      <text>
        <r>
          <rPr>
            <sz val="9"/>
            <color indexed="81"/>
            <rFont val="Tahoma"/>
            <family val="2"/>
          </rPr>
          <t>D'après la composition des grains</t>
        </r>
      </text>
    </comment>
    <comment ref="M23" authorId="0" shapeId="0" xr:uid="{50909395-D8B9-4B30-96BA-1413D2D812F8}">
      <text>
        <r>
          <rPr>
            <b/>
            <sz val="9"/>
            <color indexed="81"/>
            <rFont val="Tahoma"/>
            <family val="2"/>
          </rPr>
          <t>David MELE:</t>
        </r>
        <r>
          <rPr>
            <sz val="9"/>
            <color indexed="81"/>
            <rFont val="Tahoma"/>
            <family val="2"/>
          </rPr>
          <t xml:space="preserve">
évaporation moyenne entre 8 et 12%/h en brassam</t>
        </r>
      </text>
    </comment>
    <comment ref="R23" authorId="0" shapeId="0" xr:uid="{73EF448E-27E5-42FD-A936-926D5288DBD2}">
      <text>
        <r>
          <rPr>
            <sz val="9"/>
            <color indexed="81"/>
            <rFont val="Tahoma"/>
            <family val="2"/>
          </rPr>
          <t>A vérifier sur mon eau de brassage ou par mesure de pH</t>
        </r>
      </text>
    </comment>
    <comment ref="G24" authorId="0" shapeId="0" xr:uid="{90815751-CB5F-4428-88AD-557546C8F906}">
      <text>
        <r>
          <rPr>
            <b/>
            <sz val="9"/>
            <color indexed="81"/>
            <rFont val="Tahoma"/>
            <family val="2"/>
          </rPr>
          <t>David MELE:</t>
        </r>
        <r>
          <rPr>
            <sz val="9"/>
            <color indexed="81"/>
            <rFont val="Tahoma"/>
            <family val="2"/>
          </rPr>
          <t xml:space="preserve">
Rendement expérimental du setup mesuré à partir des brassins précédents</t>
        </r>
      </text>
    </comment>
    <comment ref="H24" authorId="0" shapeId="0" xr:uid="{C1A6E00B-B561-44A2-BEFD-6BC7844498AE}">
      <text>
        <r>
          <rPr>
            <b/>
            <sz val="9"/>
            <color indexed="81"/>
            <rFont val="Tahoma"/>
            <family val="2"/>
          </rPr>
          <t>David MELE:</t>
        </r>
        <r>
          <rPr>
            <sz val="9"/>
            <color indexed="81"/>
            <rFont val="Tahoma"/>
            <family val="2"/>
          </rPr>
          <t xml:space="preserve">
Densité théorique avant et après ébulitaion basé sur des rendements empiriques</t>
        </r>
      </text>
    </comment>
    <comment ref="P24" authorId="0" shapeId="0" xr:uid="{DD653D96-B350-4E9C-8029-D4615B63C724}">
      <text>
        <r>
          <rPr>
            <b/>
            <sz val="9"/>
            <color indexed="81"/>
            <rFont val="Tahoma"/>
            <family val="2"/>
          </rPr>
          <t>David MELE:</t>
        </r>
        <r>
          <rPr>
            <sz val="9"/>
            <color indexed="81"/>
            <rFont val="Tahoma"/>
            <family val="2"/>
          </rPr>
          <t xml:space="preserve">
Indiquer la densité post ébulition et ajuster le volume réel jusqu'à avoir une difference de sucre proche de zéro</t>
        </r>
      </text>
    </comment>
    <comment ref="T24" authorId="0" shapeId="0" xr:uid="{CAA1D451-3D89-4F7B-8C25-63F427D03C71}">
      <text>
        <r>
          <rPr>
            <sz val="9"/>
            <color indexed="81"/>
            <rFont val="Tahoma"/>
            <family val="2"/>
          </rPr>
          <t>NEIPA / IPA 5,2 – 5,4
Lager / Blonde 5,3 – 5,5
Stout / Porter 5,3 – 5,5</t>
        </r>
      </text>
    </comment>
    <comment ref="U24" authorId="0" shapeId="0" xr:uid="{73205E35-77C9-468D-982C-98D2D0EB9EB3}">
      <text>
        <r>
          <rPr>
            <sz val="9"/>
            <color indexed="81"/>
            <rFont val="Tahoma"/>
            <family val="2"/>
          </rPr>
          <t>NEIPA / IPA 5,6 – 5,8
Lager 5,7 – 6,0
Stout / Porter 5,8 – 6,0</t>
        </r>
      </text>
    </comment>
    <comment ref="U31" authorId="0" shapeId="0" xr:uid="{2756488B-94E2-4406-969A-773D931F98D8}">
      <text>
        <r>
          <rPr>
            <sz val="9"/>
            <color indexed="81"/>
            <rFont val="Tahoma"/>
            <family val="2"/>
          </rPr>
          <t>Au rinçage, on cherche :
pH &lt; 6
pas d’extraction de tannins
eau faiblement minéralisée</t>
        </r>
      </text>
    </comment>
    <comment ref="R38" authorId="0" shapeId="0" xr:uid="{5CF13D34-D5D2-40F6-B2B9-25D8E0DC6F2B}">
      <text>
        <r>
          <rPr>
            <sz val="9"/>
            <color indexed="81"/>
            <rFont val="Tahoma"/>
            <family val="2"/>
          </rPr>
          <t>Eviter de dépasser 400mg/L car le gout de l'acide lactique peut se faire ressentir</t>
        </r>
      </text>
    </comment>
    <comment ref="F52" authorId="0" shapeId="0" xr:uid="{D33641AA-F0E6-4503-A446-FA175D12E07E}">
      <text>
        <r>
          <rPr>
            <b/>
            <sz val="9"/>
            <color indexed="81"/>
            <rFont val="Tahoma"/>
            <family val="2"/>
          </rPr>
          <t>David MELE:</t>
        </r>
        <r>
          <rPr>
            <sz val="9"/>
            <color indexed="81"/>
            <rFont val="Tahoma"/>
            <family val="2"/>
          </rPr>
          <t xml:space="preserve">
Eviter de dépasser 12g/L car risque de Hopburn</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David MELE</author>
  </authors>
  <commentList>
    <comment ref="R3" authorId="0" shapeId="0" xr:uid="{C6D62139-13FE-4DB4-BA80-AD9BAD659996}">
      <text>
        <r>
          <rPr>
            <b/>
            <sz val="9"/>
            <color indexed="81"/>
            <rFont val="Tahoma"/>
            <family val="2"/>
          </rPr>
          <t>David MELE:</t>
        </r>
        <r>
          <rPr>
            <sz val="9"/>
            <color indexed="81"/>
            <rFont val="Tahoma"/>
            <family val="2"/>
          </rPr>
          <t xml:space="preserve">
à charger depuis https://www.moneaudebrassage.fr/ </t>
        </r>
      </text>
    </comment>
    <comment ref="S3" authorId="0" shapeId="0" xr:uid="{D9B427E4-4FF2-42C1-B6C5-8F6E1E33462D}">
      <text>
        <r>
          <rPr>
            <sz val="9"/>
            <color indexed="81"/>
            <rFont val="Tahoma"/>
            <family val="2"/>
          </rPr>
          <t>Renforce le coté malté et accentue la douceur de la bière.</t>
        </r>
      </text>
    </comment>
    <comment ref="T3" authorId="0" shapeId="0" xr:uid="{2F2A0CF1-415E-480C-AF49-11D84745E72E}">
      <text>
        <r>
          <rPr>
            <sz val="9"/>
            <color indexed="81"/>
            <rFont val="Tahoma"/>
            <family val="2"/>
          </rPr>
          <t>Accentue l'amertume et la sécheresse de la bière, mettant en valeur les arômes de houblon.</t>
        </r>
      </text>
    </comment>
    <comment ref="U3" authorId="0" shapeId="0" xr:uid="{EF6E79F2-3378-43E8-BD4F-E94F2E163C35}">
      <text>
        <r>
          <rPr>
            <sz val="9"/>
            <color indexed="81"/>
            <rFont val="Tahoma"/>
            <family val="2"/>
          </rPr>
          <t>déterminela dureté de l’eau. Il améliore la clarté, le goût ainsi que la stabilité de la bière. Il apporte également des nutriments pour les levure</t>
        </r>
      </text>
    </comment>
    <comment ref="V3" authorId="0" shapeId="0" xr:uid="{5ED76614-4EAF-4A31-B02D-A5A7E772135E}">
      <text>
        <r>
          <rPr>
            <sz val="9"/>
            <color indexed="81"/>
            <rFont val="Tahoma"/>
            <family val="2"/>
          </rPr>
          <t>Stimule la fermentation en activant les enzymes de la levure.</t>
        </r>
      </text>
    </comment>
    <comment ref="W3" authorId="0" shapeId="0" xr:uid="{23F92071-0F2F-48AB-A5BF-F89DDBE65EA7}">
      <text>
        <r>
          <rPr>
            <sz val="9"/>
            <color indexed="81"/>
            <rFont val="Tahoma"/>
            <family val="2"/>
          </rPr>
          <t>contribue au « corps de la bière » en accentuant la douceur du malt et la rondeur en bouche.</t>
        </r>
      </text>
    </comment>
    <comment ref="X3" authorId="0" shapeId="0" xr:uid="{94B60CD0-4DD4-44E7-A3C4-71903D61DE93}">
      <text>
        <r>
          <rPr>
            <sz val="9"/>
            <color indexed="81"/>
            <rFont val="Tahoma"/>
            <family val="2"/>
          </rPr>
          <t>participe à l’alcalinité de l’eau et stabilise le pH en compensant l’acidité naturelle du malt. L’ébullition et/ou la dilution permettent de diminuer sa concentration dans l’eau. En excès peut donner un goût savonneux.</t>
        </r>
      </text>
    </comment>
    <comment ref="M5" authorId="0" shapeId="0" xr:uid="{3191B321-D993-43E8-9088-F1D81B4623C8}">
      <text>
        <r>
          <rPr>
            <b/>
            <sz val="9"/>
            <color indexed="81"/>
            <rFont val="Tahoma"/>
            <family val="2"/>
          </rPr>
          <t xml:space="preserve">Enzymes actives : 
</t>
        </r>
        <r>
          <rPr>
            <sz val="9"/>
            <color indexed="81"/>
            <rFont val="Tahoma"/>
            <family val="2"/>
          </rPr>
          <t>protéases, peptidases</t>
        </r>
        <r>
          <rPr>
            <b/>
            <sz val="9"/>
            <color indexed="81"/>
            <rFont val="Tahoma"/>
            <family val="2"/>
          </rPr>
          <t xml:space="preserve">
Action :
</t>
        </r>
        <r>
          <rPr>
            <sz val="9"/>
            <color indexed="81"/>
            <rFont val="Tahoma"/>
            <family val="2"/>
          </rPr>
          <t>coupe les grosses protéines en peptides / acides aminés</t>
        </r>
        <r>
          <rPr>
            <b/>
            <sz val="9"/>
            <color indexed="81"/>
            <rFont val="Tahoma"/>
            <family val="2"/>
          </rPr>
          <t xml:space="preserve">
Effets :
</t>
        </r>
        <r>
          <rPr>
            <sz val="9"/>
            <color indexed="81"/>
            <rFont val="Tahoma"/>
            <family val="2"/>
          </rPr>
          <t>améliore la filtration</t>
        </r>
        <r>
          <rPr>
            <b/>
            <sz val="9"/>
            <color indexed="81"/>
            <rFont val="Tahoma"/>
            <family val="2"/>
          </rPr>
          <t xml:space="preserve">
</t>
        </r>
        <r>
          <rPr>
            <sz val="9"/>
            <color indexed="81"/>
            <rFont val="Tahoma"/>
            <family val="2"/>
          </rPr>
          <t>nourrit la levure
peut dégrader la tenue de mousse si trop long</t>
        </r>
        <r>
          <rPr>
            <b/>
            <sz val="9"/>
            <color indexed="81"/>
            <rFont val="Tahoma"/>
            <family val="2"/>
          </rPr>
          <t xml:space="preserve">
Souvent inutile avec des malts modernes bien modifiés.
</t>
        </r>
        <r>
          <rPr>
            <sz val="9"/>
            <color indexed="81"/>
            <rFont val="Tahoma"/>
            <family val="2"/>
          </rPr>
          <t xml:space="preserve">Malts pils modernes →  </t>
        </r>
        <r>
          <rPr>
            <b/>
            <sz val="9"/>
            <color indexed="81"/>
            <rFont val="Tahoma"/>
            <family val="2"/>
          </rPr>
          <t>pas de palier</t>
        </r>
        <r>
          <rPr>
            <sz val="9"/>
            <color indexed="81"/>
            <rFont val="Tahoma"/>
            <family val="2"/>
          </rPr>
          <t xml:space="preserve"> protéique
Bières fortes / sèches →  </t>
        </r>
        <r>
          <rPr>
            <b/>
            <sz val="9"/>
            <color indexed="81"/>
            <rFont val="Tahoma"/>
            <family val="2"/>
          </rPr>
          <t xml:space="preserve">long </t>
        </r>
        <r>
          <rPr>
            <sz val="9"/>
            <color indexed="81"/>
            <rFont val="Tahoma"/>
            <family val="2"/>
          </rPr>
          <t>palier à 62–63 °C (inclus dans le palier 2)
Bières troubles (blé, seigle) →  palier protéique</t>
        </r>
        <r>
          <rPr>
            <b/>
            <sz val="9"/>
            <color indexed="81"/>
            <rFont val="Tahoma"/>
            <family val="2"/>
          </rPr>
          <t xml:space="preserve"> court</t>
        </r>
        <r>
          <rPr>
            <sz val="9"/>
            <color indexed="81"/>
            <rFont val="Tahoma"/>
            <family val="2"/>
          </rPr>
          <t xml:space="preserve"> (10 min max)</t>
        </r>
      </text>
    </comment>
    <comment ref="Z5" authorId="0" shapeId="0" xr:uid="{9B0B339A-CA92-4694-A24D-C6FADD6E2DBE}">
      <text>
        <r>
          <rPr>
            <sz val="9"/>
            <color indexed="81"/>
            <rFont val="Tahoma"/>
            <family val="2"/>
          </rPr>
          <t>&lt;0,4 : Trop malté
0,4-0,6 : Trop malté
0,6-0,8 : Malté (German lager)
0,8-1,5 : Equilibré
1,5-2,0 : Un peu d'amertume
2,0-4,0 : Amer (IPA)
4,0-9,0 : Très amer (DIPA)
&gt;9,0 : Trop amer</t>
        </r>
      </text>
    </comment>
    <comment ref="G6" authorId="0" shapeId="0" xr:uid="{9F79B755-DCC4-4F97-85CD-11FC4B856367}">
      <text>
        <r>
          <rPr>
            <b/>
            <sz val="9"/>
            <color indexed="81"/>
            <rFont val="Tahoma"/>
            <family val="2"/>
          </rPr>
          <t>Avant Fermentation</t>
        </r>
        <r>
          <rPr>
            <sz val="9"/>
            <color indexed="81"/>
            <rFont val="Tahoma"/>
            <family val="2"/>
          </rPr>
          <t xml:space="preserve">
&lt; 0,5 très douce / maltée
0,5 – 0,65 équilibrée
0,65 – 0,8 amertume présente
0,8 – 1,0 amère
&gt; 1,0 très amère</t>
        </r>
      </text>
    </comment>
    <comment ref="M6" authorId="0" shapeId="0" xr:uid="{8A73AED2-C4E3-4190-A04A-52D1A922C176}">
      <text>
        <r>
          <rPr>
            <b/>
            <sz val="9"/>
            <color indexed="81"/>
            <rFont val="Tahoma"/>
            <family val="2"/>
          </rPr>
          <t xml:space="preserve">Enzyme dominante : 
</t>
        </r>
        <r>
          <rPr>
            <sz val="9"/>
            <color indexed="81"/>
            <rFont val="Tahoma"/>
            <family val="2"/>
          </rPr>
          <t>β-amylase (62-64°C)</t>
        </r>
        <r>
          <rPr>
            <b/>
            <sz val="9"/>
            <color indexed="81"/>
            <rFont val="Tahoma"/>
            <family val="2"/>
          </rPr>
          <t xml:space="preserve">
Action :
</t>
        </r>
        <r>
          <rPr>
            <sz val="9"/>
            <color indexed="81"/>
            <rFont val="Tahoma"/>
            <family val="2"/>
          </rPr>
          <t>transforme l’amidon en sucres fermentescibles (maltose)</t>
        </r>
        <r>
          <rPr>
            <b/>
            <sz val="9"/>
            <color indexed="81"/>
            <rFont val="Tahoma"/>
            <family val="2"/>
          </rPr>
          <t xml:space="preserve">
Effets :
</t>
        </r>
        <r>
          <rPr>
            <sz val="9"/>
            <color indexed="81"/>
            <rFont val="Tahoma"/>
            <family val="2"/>
          </rPr>
          <t>bière plus sèche
alcool plus élevé
corps plus léger</t>
        </r>
        <r>
          <rPr>
            <b/>
            <sz val="9"/>
            <color indexed="81"/>
            <rFont val="Tahoma"/>
            <family val="2"/>
          </rPr>
          <t xml:space="preserve">
 C’est là que se décide la fermentabilité.</t>
        </r>
      </text>
    </comment>
    <comment ref="G7" authorId="0" shapeId="0" xr:uid="{138EB0BE-701B-46E6-AE96-F957F395CD9E}">
      <text>
        <r>
          <rPr>
            <b/>
            <sz val="9"/>
            <color indexed="81"/>
            <rFont val="Tahoma"/>
            <family val="2"/>
          </rPr>
          <t>Après fermentation</t>
        </r>
        <r>
          <rPr>
            <sz val="9"/>
            <color indexed="81"/>
            <rFont val="Tahoma"/>
            <family val="2"/>
          </rPr>
          <t xml:space="preserve">
&lt; 5 très douce / maltée
5 – 7 équilibrée
7 – 9 amertume modérée
9 – 11 amère
&gt; 11 très amère / sèche</t>
        </r>
      </text>
    </comment>
    <comment ref="M7" authorId="0" shapeId="0" xr:uid="{33A0C657-BDEB-41DD-9323-A56F70BACC80}">
      <text>
        <r>
          <rPr>
            <b/>
            <sz val="9"/>
            <color indexed="81"/>
            <rFont val="Tahoma"/>
            <family val="2"/>
          </rPr>
          <t xml:space="preserve">Enzyme dominante : 
</t>
        </r>
        <r>
          <rPr>
            <sz val="9"/>
            <color indexed="81"/>
            <rFont val="Tahoma"/>
            <family val="2"/>
          </rPr>
          <t>α-amylase (≈ 68–72 °C)</t>
        </r>
        <r>
          <rPr>
            <b/>
            <sz val="9"/>
            <color indexed="81"/>
            <rFont val="Tahoma"/>
            <family val="2"/>
          </rPr>
          <t xml:space="preserve">
Action
</t>
        </r>
        <r>
          <rPr>
            <sz val="9"/>
            <color indexed="81"/>
            <rFont val="Tahoma"/>
            <family val="2"/>
          </rPr>
          <t>Activation ciblée des enzymes (β-amylase, α-amylase…)
Transformation de l’amidon en sucres</t>
        </r>
        <r>
          <rPr>
            <b/>
            <sz val="9"/>
            <color indexed="81"/>
            <rFont val="Tahoma"/>
            <family val="2"/>
          </rPr>
          <t xml:space="preserve">
Effets
</t>
        </r>
        <r>
          <rPr>
            <sz val="9"/>
            <color indexed="81"/>
            <rFont val="Tahoma"/>
            <family val="2"/>
          </rPr>
          <t>Détermine la fermentabilité du moût
Influence : le degré alcoolique, le corps, la sécheresse de la bière</t>
        </r>
        <r>
          <rPr>
            <b/>
            <sz val="9"/>
            <color indexed="81"/>
            <rFont val="Tahoma"/>
            <family val="2"/>
          </rPr>
          <t xml:space="preserve">
</t>
        </r>
      </text>
    </comment>
    <comment ref="M8" authorId="0" shapeId="0" xr:uid="{E5A91371-58E2-4F42-A00B-BA3EBDC124FF}">
      <text>
        <r>
          <rPr>
            <sz val="9"/>
            <color indexed="81"/>
            <rFont val="Tahoma"/>
            <family val="2"/>
          </rPr>
          <t xml:space="preserve">75–78 °C: 
</t>
        </r>
        <r>
          <rPr>
            <b/>
            <sz val="9"/>
            <color indexed="81"/>
            <rFont val="Tahoma"/>
            <family val="2"/>
          </rPr>
          <t>Arrêt de l’activité enzymatiqu</t>
        </r>
        <r>
          <rPr>
            <sz val="9"/>
            <color indexed="81"/>
            <rFont val="Tahoma"/>
            <family val="2"/>
          </rPr>
          <t xml:space="preserve">e + fluidification du moût
</t>
        </r>
        <r>
          <rPr>
            <b/>
            <sz val="9"/>
            <color indexed="81"/>
            <rFont val="Tahoma"/>
            <family val="2"/>
          </rPr>
          <t>Effets</t>
        </r>
        <r>
          <rPr>
            <sz val="9"/>
            <color indexed="81"/>
            <rFont val="Tahoma"/>
            <family val="2"/>
          </rPr>
          <t xml:space="preserve">
Fige la composition en sucres du moût
Empêche toute évolution ultérieure du profil
Fluidifie le moût
Améliore la filtration et le rinçage
A réaliser uniquement si le test à la teinture d'iode est négatif.
Si la couleur ne change pas, tout l'amidon est converti. Si la couleur vire au rouge, violet ou bleu, alors il reste de l'amidon et il faudra prolonger l'empâtage</t>
        </r>
      </text>
    </comment>
    <comment ref="R20" authorId="0" shapeId="0" xr:uid="{B74BBAA2-E0B6-4442-A0F1-F89B9EF5BD0F}">
      <text>
        <r>
          <rPr>
            <sz val="9"/>
            <color indexed="81"/>
            <rFont val="Tahoma"/>
            <family val="2"/>
          </rPr>
          <t>Optimiser l’activité enzymatique du malt et compenser l’alcalinité élevée (HCO₃⁻) afin d’éviter un moût trop basique et un goût savonneux.</t>
        </r>
      </text>
    </comment>
    <comment ref="R22" authorId="0" shapeId="0" xr:uid="{898E1368-8E79-4306-AB73-33CC48013E71}">
      <text>
        <r>
          <rPr>
            <sz val="9"/>
            <color indexed="81"/>
            <rFont val="Tahoma"/>
            <family val="2"/>
          </rPr>
          <t>D'après la composition des grains</t>
        </r>
      </text>
    </comment>
    <comment ref="R23" authorId="0" shapeId="0" xr:uid="{58F95E7A-F65A-49EF-BDEE-A8C7D342AE87}">
      <text>
        <r>
          <rPr>
            <sz val="9"/>
            <color indexed="81"/>
            <rFont val="Tahoma"/>
            <family val="2"/>
          </rPr>
          <t>A vérifier sur mon eau de brassage ou par mesure de pH</t>
        </r>
      </text>
    </comment>
    <comment ref="G24" authorId="0" shapeId="0" xr:uid="{2494537A-81EC-4157-8DFB-CF498F7797D7}">
      <text>
        <r>
          <rPr>
            <b/>
            <sz val="9"/>
            <color indexed="81"/>
            <rFont val="Tahoma"/>
            <family val="2"/>
          </rPr>
          <t>David MELE:</t>
        </r>
        <r>
          <rPr>
            <sz val="9"/>
            <color indexed="81"/>
            <rFont val="Tahoma"/>
            <family val="2"/>
          </rPr>
          <t xml:space="preserve">
Rendement expérimental du setup mesuré à partir des brassins précédents</t>
        </r>
      </text>
    </comment>
    <comment ref="H24" authorId="0" shapeId="0" xr:uid="{CF8EFAB5-4C67-4DAC-A924-239522D00C18}">
      <text>
        <r>
          <rPr>
            <b/>
            <sz val="9"/>
            <color indexed="81"/>
            <rFont val="Tahoma"/>
            <family val="2"/>
          </rPr>
          <t>David MELE:</t>
        </r>
        <r>
          <rPr>
            <sz val="9"/>
            <color indexed="81"/>
            <rFont val="Tahoma"/>
            <family val="2"/>
          </rPr>
          <t xml:space="preserve">
Densité théorique avant et après ébulitaion basé sur des rendements empiriques</t>
        </r>
      </text>
    </comment>
    <comment ref="T24" authorId="0" shapeId="0" xr:uid="{F31ED728-08C5-497B-95F4-6AE46241E129}">
      <text>
        <r>
          <rPr>
            <sz val="9"/>
            <color indexed="81"/>
            <rFont val="Tahoma"/>
            <family val="2"/>
          </rPr>
          <t>NEIPA / IPA 5,2 – 5,4
Lager / Blonde 5,3 – 5,5
Stout / Porter 5,3 – 5,5</t>
        </r>
      </text>
    </comment>
    <comment ref="U24" authorId="0" shapeId="0" xr:uid="{32AC8F31-F18D-435C-8E9F-AB78504AD8B7}">
      <text>
        <r>
          <rPr>
            <sz val="9"/>
            <color indexed="81"/>
            <rFont val="Tahoma"/>
            <family val="2"/>
          </rPr>
          <t>NEIPA / IPA 5,6 – 5,8
Lager 5,7 – 6,0
Stout / Porter 5,8 – 6,0</t>
        </r>
      </text>
    </comment>
    <comment ref="M26" authorId="0" shapeId="0" xr:uid="{3EA47BA7-BFB0-42F4-860B-CCA3DFC8273F}">
      <text>
        <r>
          <rPr>
            <b/>
            <sz val="9"/>
            <color indexed="81"/>
            <rFont val="Tahoma"/>
            <family val="2"/>
          </rPr>
          <t>David MELE:</t>
        </r>
        <r>
          <rPr>
            <sz val="9"/>
            <color indexed="81"/>
            <rFont val="Tahoma"/>
            <family val="2"/>
          </rPr>
          <t xml:space="preserve">
évaporation moyenne entre 8 et 12%/h en brassam</t>
        </r>
      </text>
    </comment>
    <comment ref="P27" authorId="0" shapeId="0" xr:uid="{3F1C1C35-DA8A-4597-AB1F-404475C3CB20}">
      <text>
        <r>
          <rPr>
            <b/>
            <sz val="9"/>
            <color indexed="81"/>
            <rFont val="Tahoma"/>
            <family val="2"/>
          </rPr>
          <t>David MELE:</t>
        </r>
        <r>
          <rPr>
            <sz val="9"/>
            <color indexed="81"/>
            <rFont val="Tahoma"/>
            <family val="2"/>
          </rPr>
          <t xml:space="preserve">
Indiquer la densité post ébulition et ajuster le volume réel jusqu'à avoir une difference de sucre proche de zéro</t>
        </r>
      </text>
    </comment>
    <comment ref="U31" authorId="0" shapeId="0" xr:uid="{6254DC5C-EA67-4319-B8EB-4AF65EBC7853}">
      <text>
        <r>
          <rPr>
            <sz val="9"/>
            <color indexed="81"/>
            <rFont val="Tahoma"/>
            <family val="2"/>
          </rPr>
          <t>Au rinçage, on cherche :
pH &lt; 6
pas d’extraction de tannins
eau faiblement minéralisée</t>
        </r>
      </text>
    </comment>
    <comment ref="R38" authorId="0" shapeId="0" xr:uid="{5C67D593-95C2-484C-8E01-71CC23485406}">
      <text>
        <r>
          <rPr>
            <sz val="9"/>
            <color indexed="81"/>
            <rFont val="Tahoma"/>
            <family val="2"/>
          </rPr>
          <t>Eviter de dépasser 400mg/L car le gout de l'acide lactique peut se faire ressentir</t>
        </r>
      </text>
    </comment>
    <comment ref="F54" authorId="0" shapeId="0" xr:uid="{345D8272-A102-482B-BCC2-0C505BDE1C4F}">
      <text>
        <r>
          <rPr>
            <b/>
            <sz val="9"/>
            <color indexed="81"/>
            <rFont val="Tahoma"/>
            <family val="2"/>
          </rPr>
          <t>David MELE:</t>
        </r>
        <r>
          <rPr>
            <sz val="9"/>
            <color indexed="81"/>
            <rFont val="Tahoma"/>
            <family val="2"/>
          </rPr>
          <t xml:space="preserve">
Eviter de dépasser 12g/L car risque de Hopburn</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David MELE</author>
  </authors>
  <commentList>
    <comment ref="R3" authorId="0" shapeId="0" xr:uid="{DCE5C6C4-A21A-4843-B226-79CB26EFF6E3}">
      <text>
        <r>
          <rPr>
            <b/>
            <sz val="9"/>
            <color indexed="81"/>
            <rFont val="Tahoma"/>
            <family val="2"/>
          </rPr>
          <t>David MELE:</t>
        </r>
        <r>
          <rPr>
            <sz val="9"/>
            <color indexed="81"/>
            <rFont val="Tahoma"/>
            <family val="2"/>
          </rPr>
          <t xml:space="preserve">
à charger depuis https://www.moneaudebrassage.fr/ </t>
        </r>
      </text>
    </comment>
    <comment ref="S3" authorId="0" shapeId="0" xr:uid="{663FADA5-4383-4DD8-8AAA-105D6645074C}">
      <text>
        <r>
          <rPr>
            <sz val="9"/>
            <color indexed="81"/>
            <rFont val="Tahoma"/>
            <family val="2"/>
          </rPr>
          <t>Renforce le coté malté et accentue la douceur de la bière.</t>
        </r>
      </text>
    </comment>
    <comment ref="T3" authorId="0" shapeId="0" xr:uid="{6E2826F0-18CD-459D-BA06-58B135A949D7}">
      <text>
        <r>
          <rPr>
            <sz val="9"/>
            <color indexed="81"/>
            <rFont val="Tahoma"/>
            <family val="2"/>
          </rPr>
          <t>Accentue l'amertume et la sécheresse de la bière, mettant en valeur les arômes de houblon.</t>
        </r>
      </text>
    </comment>
    <comment ref="U3" authorId="0" shapeId="0" xr:uid="{6BB9B787-9754-4370-966E-727F6BD1B326}">
      <text>
        <r>
          <rPr>
            <sz val="9"/>
            <color indexed="81"/>
            <rFont val="Tahoma"/>
            <family val="2"/>
          </rPr>
          <t>déterminela dureté de l’eau. Il améliore la clarté, le goût ainsi que la stabilité de la bière. Il apporte également des nutriments pour les levure</t>
        </r>
      </text>
    </comment>
    <comment ref="V3" authorId="0" shapeId="0" xr:uid="{F2AF20DE-ACAE-4972-9DF8-F9720C1D4B99}">
      <text>
        <r>
          <rPr>
            <sz val="9"/>
            <color indexed="81"/>
            <rFont val="Tahoma"/>
            <family val="2"/>
          </rPr>
          <t>Stimule la fermentation en activant les enzymes de la levure.</t>
        </r>
      </text>
    </comment>
    <comment ref="W3" authorId="0" shapeId="0" xr:uid="{575B53F5-0489-4921-81A5-737971486BCC}">
      <text>
        <r>
          <rPr>
            <sz val="9"/>
            <color indexed="81"/>
            <rFont val="Tahoma"/>
            <family val="2"/>
          </rPr>
          <t>contribue au « corps de la bière » en accentuant la douceur du malt et la rondeur en bouche.</t>
        </r>
      </text>
    </comment>
    <comment ref="X3" authorId="0" shapeId="0" xr:uid="{2D6993CB-D71D-4C8F-A261-557DC2049733}">
      <text>
        <r>
          <rPr>
            <sz val="9"/>
            <color indexed="81"/>
            <rFont val="Tahoma"/>
            <family val="2"/>
          </rPr>
          <t>participe à l’alcalinité de l’eau et stabilise le pH en compensant l’acidité naturelle du malt. L’ébullition et/ou la dilution permettent de diminuer sa concentration dans l’eau. En excès peut donner un goût savonneux.</t>
        </r>
      </text>
    </comment>
    <comment ref="M5" authorId="0" shapeId="0" xr:uid="{40982413-3D19-4A84-B96C-F94060BE632D}">
      <text>
        <r>
          <rPr>
            <b/>
            <sz val="9"/>
            <color indexed="81"/>
            <rFont val="Tahoma"/>
            <family val="2"/>
          </rPr>
          <t xml:space="preserve">Enzymes actives : 
</t>
        </r>
        <r>
          <rPr>
            <sz val="9"/>
            <color indexed="81"/>
            <rFont val="Tahoma"/>
            <family val="2"/>
          </rPr>
          <t>protéases, peptidases</t>
        </r>
        <r>
          <rPr>
            <b/>
            <sz val="9"/>
            <color indexed="81"/>
            <rFont val="Tahoma"/>
            <family val="2"/>
          </rPr>
          <t xml:space="preserve">
Action :
</t>
        </r>
        <r>
          <rPr>
            <sz val="9"/>
            <color indexed="81"/>
            <rFont val="Tahoma"/>
            <family val="2"/>
          </rPr>
          <t>coupe les grosses protéines en peptides / acides aminés</t>
        </r>
        <r>
          <rPr>
            <b/>
            <sz val="9"/>
            <color indexed="81"/>
            <rFont val="Tahoma"/>
            <family val="2"/>
          </rPr>
          <t xml:space="preserve">
Effets :
</t>
        </r>
        <r>
          <rPr>
            <sz val="9"/>
            <color indexed="81"/>
            <rFont val="Tahoma"/>
            <family val="2"/>
          </rPr>
          <t>améliore la filtration</t>
        </r>
        <r>
          <rPr>
            <b/>
            <sz val="9"/>
            <color indexed="81"/>
            <rFont val="Tahoma"/>
            <family val="2"/>
          </rPr>
          <t xml:space="preserve">
</t>
        </r>
        <r>
          <rPr>
            <sz val="9"/>
            <color indexed="81"/>
            <rFont val="Tahoma"/>
            <family val="2"/>
          </rPr>
          <t>nourrit la levure
peut dégrader la tenue de mousse si trop long</t>
        </r>
        <r>
          <rPr>
            <b/>
            <sz val="9"/>
            <color indexed="81"/>
            <rFont val="Tahoma"/>
            <family val="2"/>
          </rPr>
          <t xml:space="preserve">
Souvent inutile avec des malts modernes bien modifiés.
</t>
        </r>
        <r>
          <rPr>
            <sz val="9"/>
            <color indexed="81"/>
            <rFont val="Tahoma"/>
            <family val="2"/>
          </rPr>
          <t xml:space="preserve">Malts pils modernes →  </t>
        </r>
        <r>
          <rPr>
            <b/>
            <sz val="9"/>
            <color indexed="81"/>
            <rFont val="Tahoma"/>
            <family val="2"/>
          </rPr>
          <t>pas de palier</t>
        </r>
        <r>
          <rPr>
            <sz val="9"/>
            <color indexed="81"/>
            <rFont val="Tahoma"/>
            <family val="2"/>
          </rPr>
          <t xml:space="preserve"> protéique
Bières fortes / sèches →  </t>
        </r>
        <r>
          <rPr>
            <b/>
            <sz val="9"/>
            <color indexed="81"/>
            <rFont val="Tahoma"/>
            <family val="2"/>
          </rPr>
          <t xml:space="preserve">long </t>
        </r>
        <r>
          <rPr>
            <sz val="9"/>
            <color indexed="81"/>
            <rFont val="Tahoma"/>
            <family val="2"/>
          </rPr>
          <t>palier à 62–63 °C (inclus dans le palier 2)
Bières troubles (blé, seigle) →  palier protéique</t>
        </r>
        <r>
          <rPr>
            <b/>
            <sz val="9"/>
            <color indexed="81"/>
            <rFont val="Tahoma"/>
            <family val="2"/>
          </rPr>
          <t xml:space="preserve"> court</t>
        </r>
        <r>
          <rPr>
            <sz val="9"/>
            <color indexed="81"/>
            <rFont val="Tahoma"/>
            <family val="2"/>
          </rPr>
          <t xml:space="preserve"> (10 min max)</t>
        </r>
      </text>
    </comment>
    <comment ref="Z5" authorId="0" shapeId="0" xr:uid="{69167C78-F2F5-4E4D-96EA-FA23FF817711}">
      <text>
        <r>
          <rPr>
            <sz val="9"/>
            <color indexed="81"/>
            <rFont val="Tahoma"/>
            <family val="2"/>
          </rPr>
          <t>&lt;0,4 : Trop malté
0,4-0,6 : Trop malté
0,6-0,8 : Malté (German lager)
0,8-1,5 : Equilibré
1,5-2,0 : Un peu d'amertume
2,0-4,0 : Amer (IPA)
4,0-9,0 : Très amer (DIPA)
&gt;9,0 : Trop amer</t>
        </r>
      </text>
    </comment>
    <comment ref="G6" authorId="0" shapeId="0" xr:uid="{23D4DF1C-2A87-430A-9504-9D1B8972886F}">
      <text>
        <r>
          <rPr>
            <b/>
            <sz val="9"/>
            <color indexed="81"/>
            <rFont val="Tahoma"/>
            <family val="2"/>
          </rPr>
          <t>Avant Fermentation</t>
        </r>
        <r>
          <rPr>
            <sz val="9"/>
            <color indexed="81"/>
            <rFont val="Tahoma"/>
            <family val="2"/>
          </rPr>
          <t xml:space="preserve">
&lt; 0,5 très douce / maltée
0,5 – 0,65 équilibrée
0,65 – 0,8 amertume présente
0,8 – 1,0 amère
&gt; 1,0 très amère</t>
        </r>
      </text>
    </comment>
    <comment ref="M6" authorId="0" shapeId="0" xr:uid="{A1D62629-4F87-4E2A-8991-5B1B4F5A0C9E}">
      <text>
        <r>
          <rPr>
            <b/>
            <sz val="9"/>
            <color indexed="81"/>
            <rFont val="Tahoma"/>
            <family val="2"/>
          </rPr>
          <t xml:space="preserve">Enzyme dominante : 
</t>
        </r>
        <r>
          <rPr>
            <sz val="9"/>
            <color indexed="81"/>
            <rFont val="Tahoma"/>
            <family val="2"/>
          </rPr>
          <t>β-amylase (62-64°C)</t>
        </r>
        <r>
          <rPr>
            <b/>
            <sz val="9"/>
            <color indexed="81"/>
            <rFont val="Tahoma"/>
            <family val="2"/>
          </rPr>
          <t xml:space="preserve">
Action :
</t>
        </r>
        <r>
          <rPr>
            <sz val="9"/>
            <color indexed="81"/>
            <rFont val="Tahoma"/>
            <family val="2"/>
          </rPr>
          <t>transforme l’amidon en sucres fermentescibles (maltose)</t>
        </r>
        <r>
          <rPr>
            <b/>
            <sz val="9"/>
            <color indexed="81"/>
            <rFont val="Tahoma"/>
            <family val="2"/>
          </rPr>
          <t xml:space="preserve">
Effets :
</t>
        </r>
        <r>
          <rPr>
            <sz val="9"/>
            <color indexed="81"/>
            <rFont val="Tahoma"/>
            <family val="2"/>
          </rPr>
          <t>bière plus sèche
alcool plus élevé
corps plus léger</t>
        </r>
        <r>
          <rPr>
            <b/>
            <sz val="9"/>
            <color indexed="81"/>
            <rFont val="Tahoma"/>
            <family val="2"/>
          </rPr>
          <t xml:space="preserve">
 C’est là que se décide la fermentabilité.</t>
        </r>
      </text>
    </comment>
    <comment ref="G7" authorId="0" shapeId="0" xr:uid="{78C66D4D-3C41-48EE-BACD-5012E94073E0}">
      <text>
        <r>
          <rPr>
            <b/>
            <sz val="9"/>
            <color indexed="81"/>
            <rFont val="Tahoma"/>
            <family val="2"/>
          </rPr>
          <t>Après fermentation</t>
        </r>
        <r>
          <rPr>
            <sz val="9"/>
            <color indexed="81"/>
            <rFont val="Tahoma"/>
            <family val="2"/>
          </rPr>
          <t xml:space="preserve">
&lt; 5 très douce / maltée
5 – 7 équilibrée
7 – 9 amertume modérée
9 – 11 amère
&gt; 11 très amère / sèche</t>
        </r>
      </text>
    </comment>
    <comment ref="M7" authorId="0" shapeId="0" xr:uid="{E49DCEDA-F1A1-4C31-97A0-667A4A20B267}">
      <text>
        <r>
          <rPr>
            <b/>
            <sz val="9"/>
            <color indexed="81"/>
            <rFont val="Tahoma"/>
            <family val="2"/>
          </rPr>
          <t xml:space="preserve">Enzyme dominante : 
</t>
        </r>
        <r>
          <rPr>
            <sz val="9"/>
            <color indexed="81"/>
            <rFont val="Tahoma"/>
            <family val="2"/>
          </rPr>
          <t>α-amylase (≈ 68–72 °C)</t>
        </r>
        <r>
          <rPr>
            <b/>
            <sz val="9"/>
            <color indexed="81"/>
            <rFont val="Tahoma"/>
            <family val="2"/>
          </rPr>
          <t xml:space="preserve">
Action
</t>
        </r>
        <r>
          <rPr>
            <sz val="9"/>
            <color indexed="81"/>
            <rFont val="Tahoma"/>
            <family val="2"/>
          </rPr>
          <t>Activation ciblée des enzymes (β-amylase, α-amylase…)
Transformation de l’amidon en sucres</t>
        </r>
        <r>
          <rPr>
            <b/>
            <sz val="9"/>
            <color indexed="81"/>
            <rFont val="Tahoma"/>
            <family val="2"/>
          </rPr>
          <t xml:space="preserve">
Effets
</t>
        </r>
        <r>
          <rPr>
            <sz val="9"/>
            <color indexed="81"/>
            <rFont val="Tahoma"/>
            <family val="2"/>
          </rPr>
          <t>Détermine la fermentabilité du moût
Influence : le degré alcoolique, le corps, la sécheresse de la bière</t>
        </r>
        <r>
          <rPr>
            <b/>
            <sz val="9"/>
            <color indexed="81"/>
            <rFont val="Tahoma"/>
            <family val="2"/>
          </rPr>
          <t xml:space="preserve">
</t>
        </r>
      </text>
    </comment>
    <comment ref="M8" authorId="0" shapeId="0" xr:uid="{A1F00B88-8EFB-4DD2-AB75-443187E8CF81}">
      <text>
        <r>
          <rPr>
            <sz val="9"/>
            <color indexed="81"/>
            <rFont val="Tahoma"/>
            <family val="2"/>
          </rPr>
          <t xml:space="preserve">75–78 °C: 
</t>
        </r>
        <r>
          <rPr>
            <b/>
            <sz val="9"/>
            <color indexed="81"/>
            <rFont val="Tahoma"/>
            <family val="2"/>
          </rPr>
          <t>Arrêt de l’activité enzymatiqu</t>
        </r>
        <r>
          <rPr>
            <sz val="9"/>
            <color indexed="81"/>
            <rFont val="Tahoma"/>
            <family val="2"/>
          </rPr>
          <t xml:space="preserve">e + fluidification du moût
</t>
        </r>
        <r>
          <rPr>
            <b/>
            <sz val="9"/>
            <color indexed="81"/>
            <rFont val="Tahoma"/>
            <family val="2"/>
          </rPr>
          <t>Effets</t>
        </r>
        <r>
          <rPr>
            <sz val="9"/>
            <color indexed="81"/>
            <rFont val="Tahoma"/>
            <family val="2"/>
          </rPr>
          <t xml:space="preserve">
Fige la composition en sucres du moût
Empêche toute évolution ultérieure du profil
Fluidifie le moût
Améliore la filtration et le rinçage
A réaliser uniquement si le test à la teinture d'iode est négatif.
Si la couleur ne change pas, tout l'amidon est converti. Si la couleur vire au rouge, violet ou bleu, alors il reste de l'amidon et il faudra prolonger l'empâtage</t>
        </r>
      </text>
    </comment>
    <comment ref="R20" authorId="0" shapeId="0" xr:uid="{05CBAC4F-A6C9-4B51-9299-9F17EFCCCD05}">
      <text>
        <r>
          <rPr>
            <sz val="9"/>
            <color indexed="81"/>
            <rFont val="Tahoma"/>
            <family val="2"/>
          </rPr>
          <t>Optimiser l’activité enzymatique du malt et compenser l’alcalinité élevée (HCO₃⁻) afin d’éviter un moût trop basique et un goût savonneux.</t>
        </r>
      </text>
    </comment>
    <comment ref="R22" authorId="0" shapeId="0" xr:uid="{6EDF5E50-FD23-49EE-AE24-26E842C59CD6}">
      <text>
        <r>
          <rPr>
            <sz val="9"/>
            <color indexed="81"/>
            <rFont val="Tahoma"/>
            <family val="2"/>
          </rPr>
          <t>D'après la composition des grains</t>
        </r>
      </text>
    </comment>
    <comment ref="M23" authorId="0" shapeId="0" xr:uid="{C97ED594-DB2E-4DF6-A100-392B161A15C6}">
      <text>
        <r>
          <rPr>
            <b/>
            <sz val="9"/>
            <color indexed="81"/>
            <rFont val="Tahoma"/>
            <family val="2"/>
          </rPr>
          <t>David MELE:</t>
        </r>
        <r>
          <rPr>
            <sz val="9"/>
            <color indexed="81"/>
            <rFont val="Tahoma"/>
            <family val="2"/>
          </rPr>
          <t xml:space="preserve">
évaporation moyenne entre 8 et 12%/h en brassam</t>
        </r>
      </text>
    </comment>
    <comment ref="R23" authorId="0" shapeId="0" xr:uid="{A2CF700B-4A4C-4A26-BA32-B4B83144C1D0}">
      <text>
        <r>
          <rPr>
            <sz val="9"/>
            <color indexed="81"/>
            <rFont val="Tahoma"/>
            <family val="2"/>
          </rPr>
          <t>A vérifier sur mon eau de brassage ou par mesure de pH</t>
        </r>
      </text>
    </comment>
    <comment ref="G24" authorId="0" shapeId="0" xr:uid="{9B71788C-5713-475C-A0CF-D5EF2C646042}">
      <text>
        <r>
          <rPr>
            <b/>
            <sz val="9"/>
            <color indexed="81"/>
            <rFont val="Tahoma"/>
            <family val="2"/>
          </rPr>
          <t>David MELE:</t>
        </r>
        <r>
          <rPr>
            <sz val="9"/>
            <color indexed="81"/>
            <rFont val="Tahoma"/>
            <family val="2"/>
          </rPr>
          <t xml:space="preserve">
Rendement expérimental du setup mesuré à partir des brassins précédents</t>
        </r>
      </text>
    </comment>
    <comment ref="H24" authorId="0" shapeId="0" xr:uid="{FD77D982-923C-447D-B745-D1162DFD11EF}">
      <text>
        <r>
          <rPr>
            <sz val="9"/>
            <color indexed="81"/>
            <rFont val="Tahoma"/>
            <family val="2"/>
          </rPr>
          <t xml:space="preserve">Densités théoriques </t>
        </r>
        <r>
          <rPr>
            <b/>
            <sz val="9"/>
            <color indexed="81"/>
            <rFont val="Tahoma"/>
            <family val="2"/>
          </rPr>
          <t>avant et après ébulition</t>
        </r>
        <r>
          <rPr>
            <sz val="9"/>
            <color indexed="81"/>
            <rFont val="Tahoma"/>
            <family val="2"/>
          </rPr>
          <t xml:space="preserve"> basées sur des rendements empiriques</t>
        </r>
      </text>
    </comment>
    <comment ref="P24" authorId="0" shapeId="0" xr:uid="{05DA33AC-3CFB-47F8-B694-8A159F96B062}">
      <text>
        <r>
          <rPr>
            <b/>
            <sz val="9"/>
            <color indexed="81"/>
            <rFont val="Tahoma"/>
            <family val="2"/>
          </rPr>
          <t>David MELE:</t>
        </r>
        <r>
          <rPr>
            <sz val="9"/>
            <color indexed="81"/>
            <rFont val="Tahoma"/>
            <family val="2"/>
          </rPr>
          <t xml:space="preserve">
Indiquer la densité post ébulition et ajuster le volume réel jusqu'à avoir une difference de sucre proche de zéro</t>
        </r>
      </text>
    </comment>
    <comment ref="T24" authorId="0" shapeId="0" xr:uid="{63C463B5-BE6C-427D-9ECD-E2BAE04D405F}">
      <text>
        <r>
          <rPr>
            <sz val="9"/>
            <color indexed="81"/>
            <rFont val="Tahoma"/>
            <family val="2"/>
          </rPr>
          <t>NEIPA / IPA 5,2 – 5,4
Lager / Blonde 5,3 – 5,5
Stout / Porter 5,3 – 5,5</t>
        </r>
      </text>
    </comment>
    <comment ref="U24" authorId="0" shapeId="0" xr:uid="{F68055EA-D3C1-4D73-82FA-9A98D68F05C2}">
      <text>
        <r>
          <rPr>
            <sz val="9"/>
            <color indexed="81"/>
            <rFont val="Tahoma"/>
            <family val="2"/>
          </rPr>
          <t>NEIPA / IPA 5,6 – 5,8
Lager 5,7 – 6,0
Stout / Porter 5,8 – 6,0</t>
        </r>
      </text>
    </comment>
    <comment ref="U31" authorId="0" shapeId="0" xr:uid="{2FA91B94-B47E-4735-8D7F-697AC7DBEA4A}">
      <text>
        <r>
          <rPr>
            <sz val="9"/>
            <color indexed="81"/>
            <rFont val="Tahoma"/>
            <family val="2"/>
          </rPr>
          <t>Au rinçage, on cherche :
pH &lt; 6
pas d’extraction de tannins
eau faiblement minéralisée</t>
        </r>
      </text>
    </comment>
    <comment ref="R38" authorId="0" shapeId="0" xr:uid="{5A93E072-E43A-43B2-8532-8176FBBEB272}">
      <text>
        <r>
          <rPr>
            <sz val="9"/>
            <color indexed="81"/>
            <rFont val="Tahoma"/>
            <family val="2"/>
          </rPr>
          <t>Eviter de dépasser 400mg/L car le gout de l'acide lactique peut se faire ressentir</t>
        </r>
      </text>
    </comment>
    <comment ref="F52" authorId="0" shapeId="0" xr:uid="{BCF76E5B-6A96-4397-9B94-C404419EEFAC}">
      <text>
        <r>
          <rPr>
            <b/>
            <sz val="9"/>
            <color indexed="81"/>
            <rFont val="Tahoma"/>
            <family val="2"/>
          </rPr>
          <t>David MELE:</t>
        </r>
        <r>
          <rPr>
            <sz val="9"/>
            <color indexed="81"/>
            <rFont val="Tahoma"/>
            <family val="2"/>
          </rPr>
          <t xml:space="preserve">
Eviter de dépasser 12g/L car risque de Hopburn</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David MELE</author>
  </authors>
  <commentList>
    <comment ref="I6" authorId="0" shapeId="0" xr:uid="{DDA87CBF-C2C8-42DB-A969-49C556FF041F}">
      <text>
        <r>
          <rPr>
            <sz val="11"/>
            <color indexed="81"/>
            <rFont val="Tahoma"/>
            <family val="2"/>
          </rPr>
          <t>Disaccharide composé de glucose et de fructose. Rapidement hydrolysé par la levure en sucres simples fermentescibles (inversion: saccharose→glucose+fructose). 
Utilisé pour augmenter la densité du moût et le degré alcoolique sans apporter de corps ni d’arômes marqués, ce qui allège la bière et favorise une finale plus sèche. 
Utilisé en ressucrage</t>
        </r>
      </text>
    </comment>
    <comment ref="A12" authorId="0" shapeId="0" xr:uid="{99B49009-EAF3-4F80-A173-E979F572EF50}">
      <text>
        <r>
          <rPr>
            <b/>
            <sz val="9"/>
            <color indexed="81"/>
            <rFont val="Tahoma"/>
            <family val="2"/>
          </rPr>
          <t>Légèrement plus foncé et à la saveur plus prononcée que le Pilsen. 
C’est le malt de prédilection pour les bières à fermentation haute.
Il permet également l’extraction de sucre la plus facile. C’est pourquoi, il est souvent conseillé pour débuter.</t>
        </r>
      </text>
    </comment>
    <comment ref="I12" authorId="0" shapeId="0" xr:uid="{4976B6A1-14CE-4565-9189-C2BF22B41E37}">
      <text>
        <r>
          <rPr>
            <sz val="10"/>
            <color indexed="81"/>
            <rFont val="Tahoma"/>
            <family val="2"/>
          </rPr>
          <t>sucre issu de l’hydrolyse du saccharose en glucose et fructose (par chauffage et acidification). 
Très fermentescible, il permet d’augmenter la densité initiale tout en allégeant le corps de la bière et en favorisant une finale sèche. 
Utilisé fréquemment dans les bières belges pour atteindre des degrés élevés sans lourdeur maltée. 
La version claire n’apporte que peu de couleur ni d’arômes, tandis que les versions ambrées ou foncées peuvent apporter des notes de caramel, miel ou rhum.</t>
        </r>
      </text>
    </comment>
    <comment ref="A16" authorId="0" shapeId="0" xr:uid="{A91687FE-7837-4388-BA35-5BD2BCB90C47}">
      <text>
        <r>
          <rPr>
            <b/>
            <sz val="9"/>
            <color indexed="81"/>
            <rFont val="Tahoma"/>
            <family val="2"/>
          </rPr>
          <t>Apporte une couleur plus dorée et un goût plus malté et sucré.</t>
        </r>
      </text>
    </comment>
    <comment ref="A17" authorId="0" shapeId="0" xr:uid="{BAC700BE-9CA7-4189-8AE4-6954D71AD260}">
      <text>
        <r>
          <rPr>
            <sz val="9"/>
            <color indexed="81"/>
            <rFont val="Tahoma"/>
            <family val="2"/>
          </rPr>
          <t>Le Vienna est un malt très utilisé dans l'élaboration des bières Lager. Il donne un corps modéré ainsi qu'une couleur claire-dorée. Ce malt donne des saveurs de noix avec des notes secondaires de miel. 
Le malt Vienna peut être utilisé pour brasser des Lager et des Ale dorées, bien qu'à l'origine, il était utilisé dans les styles de bière Vienna (Lager). De nos jours, il est parfait pour intensifier la couleur et les arômes des bières légères, qu'elles soient claires ou brunes.
Ce malt colore votre moût entre 8-10 EBC
Ajout recommandé : jusqu'à 100%.</t>
        </r>
      </text>
    </comment>
    <comment ref="I17" authorId="0" shapeId="0" xr:uid="{1DDF6FD8-B09A-40DE-9090-D25E0CF7C0FA}">
      <text>
        <r>
          <rPr>
            <sz val="11"/>
            <color indexed="81"/>
            <rFont val="Tahoma"/>
            <family val="2"/>
          </rPr>
          <t>Mélange de chaînes de glucose issues du malt, partiellement ou non fermentescibles selon leur longueur. 
Apportent du corps, de la rondeur et de la tenue de mousse, avec peu ou pas d’impact sur l’alcool. Utilisées pour renforcer la texture et l’équilibre sans augmenter la sécheresse.</t>
        </r>
      </text>
    </comment>
    <comment ref="A19" authorId="0" shapeId="0" xr:uid="{C9C0A33F-848C-4ABE-9053-BEC63C20D6AC}">
      <text>
        <r>
          <rPr>
            <b/>
            <sz val="9"/>
            <color indexed="81"/>
            <rFont val="Tahoma"/>
            <family val="2"/>
          </rPr>
          <t>Le malt clair donne des saveurs biscuitées prononcées, alors que le malt foncé tend vers les saveurs de pain grillé.</t>
        </r>
      </text>
    </comment>
    <comment ref="A20" authorId="0" shapeId="0" xr:uid="{E18CAF71-DFE7-455D-BB0A-42BAFAB8AC29}">
      <text>
        <r>
          <rPr>
            <sz val="9"/>
            <color indexed="81"/>
            <rFont val="Tahoma"/>
            <family val="2"/>
          </rPr>
          <t>Munich est un malt savoureux utilisé pour ajouter de la couleur ou intensifier la saveur du malt de base. Contrairement au malt Vienna, la couleur du malt Munich va de dorée à orangée.
Ce malt peut être utilisé dans les bières où l'on veut équilibrer l'amertume : les Pale Ale, les IPA, les Bitters, mais aussi dans les bières où l'on veut amplifier la saveur maltée comme dans les Brown Ale et les Stout. 
Ce malt colore votre moût à 10-20 EBC
Ajout recommandé : jusqu'à 100%.</t>
        </r>
      </text>
    </comment>
    <comment ref="I21" authorId="0" shapeId="0" xr:uid="{BC315A8F-EF53-49C9-929B-9BA40AC3DB3F}">
      <text>
        <r>
          <rPr>
            <sz val="11"/>
            <color indexed="81"/>
            <rFont val="Tahoma"/>
            <family val="2"/>
          </rPr>
          <t>Disaccharide non fermentescible par les levures de bière. Apporte une douceur résiduelle, de l’onctuosité et du corps, et reste dans la bière finale.
Utilisé pour équilibrer l’amertume et créer des styles à texture crémeuse comme les Milk Stout</t>
        </r>
        <r>
          <rPr>
            <sz val="9"/>
            <color indexed="81"/>
            <rFont val="Tahoma"/>
            <family val="2"/>
          </rPr>
          <t xml:space="preserve">
</t>
        </r>
      </text>
    </comment>
    <comment ref="I23" authorId="0" shapeId="0" xr:uid="{C8A02977-F8B8-4308-A6DD-15F423D08835}">
      <text>
        <r>
          <rPr>
            <sz val="11"/>
            <color indexed="81"/>
            <rFont val="Tahoma"/>
            <family val="2"/>
          </rPr>
          <t>Mélange de sucres simples (glucose, fructose, saccharose) et de composés non fermentescibles. 
Majoritairement fermentescibles, ils augmentent l’alcool tout en apportant des arômes caractéristiques et une légère rondeur résiduelle selon le produit et le taux d’utilisation</t>
        </r>
      </text>
    </comment>
    <comment ref="A24" authorId="0" shapeId="0" xr:uid="{7A0EBACE-2BAB-43C4-9D43-0352518B3262}">
      <text>
        <r>
          <rPr>
            <b/>
            <sz val="9"/>
            <color indexed="81"/>
            <rFont val="Tahoma"/>
            <family val="2"/>
          </rPr>
          <t>Donne une forte saveur de pain cuit, noix et fruits. La flaveur de ce malt a quelques notes d’amertume qui s’adoucissent avec sa maturité. Le malt Château Abbaye® peut avoir une flaveur assez forte et est généralement utilisé en petits pourcentages (10%) dans la production des types de bière réclamant une coloration intense.
Usage:
Bières types Pale Ale, porters bruns et bières spéciales ; diverses bières anglaises. Jusqu’à 25% du mélange.</t>
        </r>
      </text>
    </comment>
    <comment ref="A25" authorId="0" shapeId="0" xr:uid="{CFEADA99-23FA-41AE-9B29-75D6EF9C229E}">
      <text>
        <r>
          <rPr>
            <b/>
            <sz val="9"/>
            <color indexed="81"/>
            <rFont val="Tahoma"/>
            <family val="2"/>
          </rPr>
          <t>Très aromatique, avec une flaveur intense de malt. Donne de la plénitude et de la rondeur à la couleur de la bière, intensifie la stabilité de la flaveur et enrichit la couleur rouge de la bière. Augmente le corps de la bière. Ce malt est aussi appelé «Turbo Munich».
Usage:
Bières ambrées et foncées, type ales écossaises, ales ambrées, rouges. Mélange recommandé : jusqu’à 20%.</t>
        </r>
      </text>
    </comment>
    <comment ref="A26" authorId="0" shapeId="0" xr:uid="{AA9E9F82-953A-4E39-AF68-86681CEF4A25}">
      <text>
        <r>
          <rPr>
            <sz val="9"/>
            <color indexed="81"/>
            <rFont val="Tahoma"/>
            <family val="2"/>
          </rPr>
          <t>Il s'agit d'un malt anglais traditionnel avec beaucoup de caractère.
Le Maris Ottter Ale Malt est l'un des rares malts à faire référence à la variété de grain à partir de laquelle il est malté. Ce malt ajoute à notre bière de fortes notes de céréales, de biscuits et de noix.
Ce malt transforme ses amidons en sucres par une simple infusion et produit des bières de couleur orangée au goût riche.
Ajout recommandé : jusqu'à 100%.</t>
        </r>
      </text>
    </comment>
    <comment ref="I27" authorId="0" shapeId="0" xr:uid="{F8979881-6A5E-4E80-936A-1098620FDF1A}">
      <text>
        <r>
          <rPr>
            <sz val="11"/>
            <color indexed="81"/>
            <rFont val="Tahoma"/>
            <family val="2"/>
          </rPr>
          <t>Ce ne sont PAS des “sucres” au sens brassicole. Extrait concentré de moût de malt contenant un mélange de sucres fermentescibles (maltose, glucose) et non fermentescibles (dextrines). 
Augmente la densité, le corps et la couleur selon la version, tout en conservant un profil malté proche d’un brassage tout grain.</t>
        </r>
      </text>
    </comment>
    <comment ref="A29" authorId="0" shapeId="0" xr:uid="{A61FFD70-3FEF-45B0-9A81-4E33DA30F6F5}">
      <text>
        <r>
          <rPr>
            <sz val="9"/>
            <color indexed="81"/>
            <rFont val="Tahoma"/>
            <family val="2"/>
          </rPr>
          <t>BEST Chit Malt est un malt très fonctionnel qui a subi une germination très courte, ce qui donne un produit à peine malté. Par conséquent, il conserve une grande partie de ses caractéristiques de grain et offre beaucoup de propriétés en ce qui concerne la sensation en bouche.
Le malt Chit est un excellent ajout pour le corps, la stabilité du trouble, ainsi que pour favoriser la rétention de la mousse. Sa couleur incroyablement faible n'affectera pas la couleur de la bière. C'est un ajout parfait pour toute bière artisanale, mais particulièrement bénéfique pour les brassins troubles.
Ajout recommandé : jusqu'à 15%.</t>
        </r>
      </text>
    </comment>
    <comment ref="A34" authorId="0" shapeId="0" xr:uid="{3FA32DE8-2213-4479-94CD-EAFE3A4789BD}">
      <text>
        <r>
          <rPr>
            <sz val="9"/>
            <color indexed="81"/>
            <rFont val="Tahoma"/>
            <family val="2"/>
          </rPr>
          <t>Le malt de blé est le malt de base pour toutes les variétés de bière de blé. Il garantit une fraîcheur intense et le goût typique de la bière de blé de fermentation haute. Il est produit exclusivement à partir de blé de brasserie de haute qualité. Par rapport au malt Pilsen, le malt de froment a une teneur en protéines plus élevée et convient donc pour augmenter le corps et améliorer la mousse dans les bières de spécialité de fermentation haute.
Ce malt colore votre moût à 3 EBC
Ajout recommandé : jusqu'à 70%.</t>
        </r>
      </text>
    </comment>
    <comment ref="A38" authorId="0" shapeId="0" xr:uid="{7533C189-47CF-458C-92C3-2479F3AFE80F}">
      <text>
        <r>
          <rPr>
            <b/>
            <sz val="9"/>
            <color indexed="81"/>
            <rFont val="Tahoma"/>
            <family val="2"/>
          </rPr>
          <t>Le malt de seigle vient alors remplacer jusqu’à 30 % du malt d’orge. La plupart des microbrasseries ne dépassent toutefois pas les 10 à 20 % dans leurs recettes afin que le goût puissant du seigle ne soit pas trop présent.
La bière de seigle se marie bien avec les œufs et les fromages persillés.</t>
        </r>
      </text>
    </comment>
    <comment ref="A39" authorId="0" shapeId="0" xr:uid="{67CE907E-6AD4-4021-B261-2B7CFA8932AD}">
      <text>
        <r>
          <rPr>
            <sz val="9"/>
            <color indexed="81"/>
            <rFont val="Tahoma"/>
            <family val="2"/>
          </rPr>
          <t xml:space="preserve">En brasserie, ce malt est utilisé à la place du malt d’orge afin de produire de la bière </t>
        </r>
        <r>
          <rPr>
            <b/>
            <sz val="9"/>
            <color indexed="81"/>
            <rFont val="Tahoma"/>
            <family val="2"/>
          </rPr>
          <t>sans gluten</t>
        </r>
        <r>
          <rPr>
            <sz val="9"/>
            <color indexed="81"/>
            <rFont val="Tahoma"/>
            <family val="2"/>
          </rPr>
          <t xml:space="preserve"> et apporter à votre bière des saveurs de noisettes. 
Il peut également être utilisé dans les bières spéciales pour rendre une note de richesse et profondeur
Cependant, comme il est dénué de pouvoir diastasique, il ne peut pas être utilisé seul. 
Contrairement à ce que sa couleur sombre pourrait laisser présager, le malt de sarrasin est peu colorisant (maximum 15 EBC).
Jusqu’à 40% du mélange.</t>
        </r>
      </text>
    </comment>
    <comment ref="A44" authorId="0" shapeId="0" xr:uid="{60DB1DAF-C09C-4F90-845F-0B42954A3426}">
      <text>
        <r>
          <rPr>
            <b/>
            <sz val="9"/>
            <color indexed="81"/>
            <rFont val="Tahoma"/>
            <family val="2"/>
          </rPr>
          <t>Le malt est caramélisé à l’intérieur de son enveloppe.
Il donne des saveurs de sucre ou de caramel et apporte du corps à la bière. 
Peut également lui donner une légère teinte colorée.</t>
        </r>
      </text>
    </comment>
    <comment ref="A52" authorId="0" shapeId="0" xr:uid="{4B648C6C-778D-4A9D-94F9-5FD2EF4B2041}">
      <text>
        <r>
          <rPr>
            <b/>
            <sz val="11"/>
            <color indexed="81"/>
            <rFont val="Tahoma"/>
            <family val="2"/>
          </rPr>
          <t>Notes de caramel, bonbon et pain
Rougeâtre
Ale, Lager, Bock ou foncées.</t>
        </r>
      </text>
    </comment>
    <comment ref="A54" authorId="0" shapeId="0" xr:uid="{FD6FA257-6525-4BFE-B208-908352FC61CA}">
      <text>
        <r>
          <rPr>
            <b/>
            <sz val="9"/>
            <color indexed="81"/>
            <rFont val="Tahoma"/>
            <family val="2"/>
          </rPr>
          <t>De couleur caramel-cuivre, ce malt donne un goût riche et de l’arôme aux bières ambrées et foncées de types lager. 
Son pouvoir diastasique est plus important que celui d’autres malts traditionnels, et son amertume plus douce.
Brown Ale, Lager foncée, Ambrée ou Bock.</t>
        </r>
      </text>
    </comment>
    <comment ref="A60" authorId="0" shapeId="0" xr:uid="{1A339337-FB7F-47F8-B260-7F8CE85A63E0}">
      <text>
        <r>
          <rPr>
            <b/>
            <sz val="11"/>
            <color indexed="81"/>
            <rFont val="Tahoma"/>
            <family val="2"/>
          </rPr>
          <t>Comme le café ou le cacao, le malt d'orge peut être grillé. Cela lui donne un goût plus prononcé et apporte des nuances de couleurs plus importantes. Plus le malt d'orge sera torréfié, plus l'aspect de la bière sera sombre et son goût proche du café, du chocolat, de la noix ou encore du grillé. . Ils font aussi augmenter l'amertume de la bière. Ils sont donc à utiliser en petite dose.
Cela suffira largement à faire exploser leurs saveurs. Comme leur pouvoir diastasique est très faible, voire nul, ils sont nécessairement utilisés avec des malts de base ou des malts spéciaux au fort pouvoir diastasique.
Ils sont très prisés des bières brunes, des Stouts, des Brown Ales, les Black IPA ou encore des Porters. Les moins torréfiés peuvent également être utilisés dans les bières ambrées. Ces malts apportent une profondeur et une complexité aromatique incomparables à votre bière composition.
1. En les mélangeant avec les autres malts Comme ils sont présents dès le début du brassage, ils ont le temps de libérer leur couleur et leurs arômes. Les tanins présents dans leur enveloppe vont toutefois acidifier la bière. Le caractère torréfié sera donc très présent. Cette méthode convient parfaitement aux Stouts robustes et aux Porter traditionnelles.
Pour éviter que les grains torréfiés ne prennent trop le pas sur les autres malts, ils doivent être utilisés en petite quantité (de 5 à 7 % du mélange).
2. En les ajoutant pendant la filtration L'empâtage est réalisé avec les malts clairs. Les grains torréfiés sont ajoutés lors de la filtration. Leur exposition limitée aux hautes températures réduit la diffusion des tanins. Cette technique permet d'obtenir les notes torréfiées sans l'astringence excessive, idéale pour les Brown Ales équilibrées.
3. En réalisant une infusion à froid (Cold Steep) Les grains de malt torréfiés sont infusés durant plusieurs heures dans une eau froide ou à température ambiante. L'extrait ainsi obtenu est ensuite mélangé au moût quand le brasseur le souhaite. Cela peut être après l'ébullition, pendant la fermentation ou juste avant l'embouteillage. Cette méthode est particulièrement utilisée pour les Black IPA, où le caractère torréfié ne doit pas masquer le côté houblon biere. Cette dernière est également celle qui limite le plus la diffusion des tanin</t>
        </r>
      </text>
    </comment>
    <comment ref="A62" authorId="0" shapeId="0" xr:uid="{9D88FE4F-BA43-4794-9072-1A7770F0D402}">
      <text>
        <r>
          <rPr>
            <b/>
            <sz val="9"/>
            <color indexed="81"/>
            <rFont val="Tahoma"/>
            <family val="2"/>
          </rPr>
          <t>Donne un arôme et une flaveur très vive de malt aux bières ambrées et lagers foncées. Il a un pouvoir diastasique plus important que d’autres malts colorés et produit une amertume moins intense. Maximum 20 %</t>
        </r>
      </text>
    </comment>
    <comment ref="A63" authorId="0" shapeId="0" xr:uid="{89865230-D79D-43E4-A3CE-E5F9F817715B}">
      <text>
        <r>
          <rPr>
            <b/>
            <sz val="9"/>
            <color indexed="81"/>
            <rFont val="Tahoma"/>
            <family val="2"/>
          </rPr>
          <t>Le malt Château Biscuit® crée un arrière-goût de « grillé » bien prononcé. Apporte de l’arôme et de la flaveur de pain et biscuits doux. Ce malt donne au moût une couleur douce de brun léger à moyen. Le malt Biscuit est utilisé afin d’intensifier le goût et l’arôme de grillé, qui caractérise les bières de types Ale et Lager, en conférant des propriétés raffinées des malts Château Black et Château Chocolat. Ne contient pas d’enzymes. Doit être empâté avec des malts à pouvoir diastasique important.
Usage:
Toutes les bières spéciales, ales anglaises, ales brunes et porters. Mélange maximum recommandé : 25%</t>
        </r>
      </text>
    </comment>
    <comment ref="A76" authorId="0" shapeId="0" xr:uid="{255A9D77-2492-4FF4-80E7-3CB3728F9602}">
      <text>
        <r>
          <rPr>
            <b/>
            <sz val="9"/>
            <color indexed="81"/>
            <rFont val="Tahoma"/>
            <family val="2"/>
          </rPr>
          <t>Les flocons n’apportent aucune enzyme :
ils doivent toujours être accompagnés d’un malt de base enzymatiquement actif.
Avantages
Plus écologique</t>
        </r>
        <r>
          <rPr>
            <sz val="9"/>
            <color indexed="81"/>
            <rFont val="Tahoma"/>
            <family val="2"/>
          </rPr>
          <t xml:space="preserve"> : les flocons ne subissent pas le processus de germination et maltage, qui est très énergivore.
C’est</t>
        </r>
        <r>
          <rPr>
            <b/>
            <sz val="9"/>
            <color indexed="81"/>
            <rFont val="Tahoma"/>
            <family val="2"/>
          </rPr>
          <t xml:space="preserve"> plus économique</t>
        </r>
        <r>
          <rPr>
            <sz val="9"/>
            <color indexed="81"/>
            <rFont val="Tahoma"/>
            <family val="2"/>
          </rPr>
          <t xml:space="preserve"> : comme ils sont subis moins de transformations que les céréales maltées, les flocons constituent une matière première moins coûteuse.</t>
        </r>
        <r>
          <rPr>
            <b/>
            <sz val="9"/>
            <color indexed="81"/>
            <rFont val="Tahoma"/>
            <family val="2"/>
          </rPr>
          <t xml:space="preserve">
</t>
        </r>
        <r>
          <rPr>
            <sz val="9"/>
            <color indexed="81"/>
            <rFont val="Tahoma"/>
            <family val="2"/>
          </rPr>
          <t>Elles améliorent la teneur en mousse de la bière et donnent du corps aux bières les plus légères.
Leur apport en protéine est plus grand.</t>
        </r>
        <r>
          <rPr>
            <b/>
            <sz val="9"/>
            <color indexed="81"/>
            <rFont val="Tahoma"/>
            <family val="2"/>
          </rPr>
          <t xml:space="preserve">
Inconvénients
</t>
        </r>
        <r>
          <rPr>
            <sz val="9"/>
            <color indexed="81"/>
            <rFont val="Tahoma"/>
            <family val="2"/>
          </rPr>
          <t>Leur utilisation rend la maische plus visqueuse. Au-delà de 15 %, cela peut entraîner des problèmes de filtration.
Elles n’ont aucun pouvoir diastasique et doivent donc être mélangées avec un malt à fort pouvoir diastasique.
Leur usage nécessite l’adaptation de son profil de brassage. Elle est donc réservée aux brasseurs plus expérimentés.</t>
        </r>
      </text>
    </comment>
    <comment ref="A77" authorId="0" shapeId="0" xr:uid="{248F7135-53CF-48DB-920A-74A8222AE661}">
      <text>
        <r>
          <rPr>
            <sz val="9"/>
            <color indexed="81"/>
            <rFont val="Tahoma"/>
            <family val="2"/>
          </rPr>
          <t>augmente l’onctuosité et crée un trouble protéinique.
Favorise la tenue de mousse.</t>
        </r>
      </text>
    </comment>
    <comment ref="A78" authorId="0" shapeId="0" xr:uid="{F410152D-AD62-4A28-98EA-CB078E0BDFEC}">
      <text>
        <r>
          <rPr>
            <b/>
            <sz val="9"/>
            <color indexed="81"/>
            <rFont val="Tahoma"/>
            <family val="2"/>
          </rPr>
          <t>Les flocons de blé intensifient le goût de céréales de la bière. Ils améliorent également la tenue de mousse grâce à leur de taux de protéines. La turbidité peut-être importante du fait des protéines.
Nous conseillons une utilisation maximale à 5%.</t>
        </r>
      </text>
    </comment>
    <comment ref="A79" authorId="0" shapeId="0" xr:uid="{9AA78362-DC7D-41F6-BE23-070139F91A46}">
      <text>
        <r>
          <rPr>
            <sz val="9"/>
            <color indexed="81"/>
            <rFont val="Tahoma"/>
            <family val="2"/>
          </rPr>
          <t>Les flocons de maïs jaune donnent une bière à la saveur et au corps doux et moins maltés qu'une bière entièrement maltée. Les flocons de maïs jaune produisent également une bière plus sèche et plus "crispy". 
Comme le maïs est dégermé, la plupart de l'huile est retirée. Cela peut entraîner un manque de mousse, caractéristique des bières à fort pourcentage d'adjuvants. Contrairement au gruau de maïs qui doit être liquéfié dans un cuiseur de céréales, les flocons de maïs jaune peuvent être ajoutés directement au moût.
Une infusion à une ou plusieurs températures peut être utilisée. Le temps de conversion et le temps de clarification seront normaux.
Utilisation : jusqu'à 40 %, ne pas concasser.</t>
        </r>
      </text>
    </comment>
    <comment ref="A80" authorId="0" shapeId="0" xr:uid="{3E5BE10D-0D55-4DB2-B227-7046B5FAC258}">
      <text>
        <r>
          <rPr>
            <sz val="9"/>
            <color indexed="81"/>
            <rFont val="Tahoma"/>
            <family val="2"/>
          </rPr>
          <t>Les flocons d'orge sont des grains cuits d'orge non maltés et séchés, qui sont ensuite transformés en flocons.
Ce malt confère une saveur de grain très riche, ainsi qu'un corps rond et une mousse soyeuse. Ce grain est utilisé dans les Stout et les Ale irlandaises, mais plus particulièrement dans les Irish Stouts, où il améliore la stabilité de la mousse.
Ajout recommandé : jusqu'à 20%. (Bières irlandaises)</t>
        </r>
      </text>
    </comment>
    <comment ref="A81" authorId="0" shapeId="0" xr:uid="{2E7AA09C-7E49-415A-A3C8-BD2BD486F7A6}">
      <text>
        <r>
          <rPr>
            <sz val="9"/>
            <color indexed="81"/>
            <rFont val="Tahoma"/>
            <family val="2"/>
          </rPr>
          <t>Ces flocons contiennent moins d’albumines. Les ajouter donnera une bière plus sèche dont le caractère houblonné s’exprimera plus. Particulièrement utilisés dans des bières type Saporo, Budweiser et Heineken.</t>
        </r>
      </text>
    </comment>
    <comment ref="A82" authorId="0" shapeId="0" xr:uid="{43930F67-8A02-40B8-98B5-233C1CE3816D}">
      <text>
        <r>
          <rPr>
            <sz val="9"/>
            <color indexed="81"/>
            <rFont val="Tahoma"/>
            <family val="2"/>
          </rPr>
          <t>Ces flocons contiennent moins d’albumines. Les ajouter donnera une bière plus sèche dont le caractère houblonné s’exprimera plus. Particulièrement utilisés dans des bières type Saporo, Budweiser et Heineken.</t>
        </r>
      </text>
    </comment>
    <comment ref="AF279" authorId="0" shapeId="0" xr:uid="{27BE022C-3B18-4492-ADCE-2FFDA23D61C5}">
      <text>
        <r>
          <rPr>
            <b/>
            <sz val="9"/>
            <color indexed="81"/>
            <rFont val="Tahoma"/>
            <family val="2"/>
          </rPr>
          <t>Évadez-vous vers un paradis tropical avec la levure Pineapple Passion IPA, une nouvelle levure innovante sélectionnée pour sa capacité à produire des brassins tropicaux juteux avec des saveurs et arômes d'ananas vibrants. Créez des IPA exotiques avec des niveaux élevés de biotransformation, une stabilité du trouble et une fermentation rapide. Laissez ce brassin transporter vos papilles vers une île tropicale.</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David MELE</author>
  </authors>
  <commentList>
    <comment ref="O5" authorId="0" shapeId="0" xr:uid="{50A29C2E-21A9-4B13-85F6-C8F5E8B427B6}">
      <text>
        <r>
          <rPr>
            <b/>
            <sz val="9"/>
            <color indexed="81"/>
            <rFont val="Tahoma"/>
            <family val="2"/>
          </rPr>
          <t>&lt;0,4 : Trop malté
0,4-0,6 : Trop malté
0,6-0,8 : Malté (German lager)
0,8-1,5 : Equilibré
1,5-2,0 : Un peu d'amertume
2,0-4,0 : Amer (IPA)
4,0-9,0 : Très amer (DIPA)
&gt;9,0 : Trop amer</t>
        </r>
      </text>
    </comment>
    <comment ref="Q5" authorId="0" shapeId="0" xr:uid="{EDA45AC5-8CF9-4D22-AE73-1DEAB8878DFC}">
      <text>
        <r>
          <rPr>
            <b/>
            <sz val="9"/>
            <color indexed="81"/>
            <rFont val="Tahoma"/>
            <family val="2"/>
          </rPr>
          <t>Renforce le coté malté et accentue la douceur de la bière.</t>
        </r>
      </text>
    </comment>
    <comment ref="S5" authorId="0" shapeId="0" xr:uid="{9C41E8D9-4548-476A-9F20-099BA64CC47C}">
      <text>
        <r>
          <rPr>
            <b/>
            <sz val="9"/>
            <color indexed="81"/>
            <rFont val="Tahoma"/>
            <family val="2"/>
          </rPr>
          <t>Accentue l'amertume et la sécheresse de la bière, mettant en valeur les arômes de houblon.</t>
        </r>
      </text>
    </comment>
    <comment ref="U5" authorId="0" shapeId="0" xr:uid="{FC7D4F92-03D3-4BBF-BA33-7196FA2B59D9}">
      <text>
        <r>
          <rPr>
            <b/>
            <sz val="9"/>
            <color indexed="81"/>
            <rFont val="Tahoma"/>
            <family val="2"/>
          </rPr>
          <t>déterminela dureté de l’eau. Il améliore la clarté, le goût ainsi que la stabilité de la bière. Il apporte également des nutriments pour les levures</t>
        </r>
      </text>
    </comment>
    <comment ref="W5" authorId="0" shapeId="0" xr:uid="{35006C96-38E9-4941-A3B6-6345E276C0C1}">
      <text>
        <r>
          <rPr>
            <b/>
            <sz val="9"/>
            <color indexed="81"/>
            <rFont val="Tahoma"/>
            <family val="2"/>
          </rPr>
          <t>Stimule la fermentation en activant les enzymes de la levure.</t>
        </r>
      </text>
    </comment>
    <comment ref="Y5" authorId="0" shapeId="0" xr:uid="{3373BD3F-96E7-4145-9153-6EC3D664BC3C}">
      <text>
        <r>
          <rPr>
            <b/>
            <sz val="9"/>
            <color indexed="81"/>
            <rFont val="Tahoma"/>
            <family val="2"/>
          </rPr>
          <t>contribue au « corps de la bière » en accentuant la douceur du malt et la rondeur en bouche.</t>
        </r>
      </text>
    </comment>
    <comment ref="AA5" authorId="0" shapeId="0" xr:uid="{5B42FF79-A314-4D6B-8FF7-DE0E331335F5}">
      <text>
        <r>
          <rPr>
            <b/>
            <sz val="9"/>
            <color indexed="81"/>
            <rFont val="Tahoma"/>
            <family val="2"/>
          </rPr>
          <t>Participe à l’alcalinité de l’eau et stabilise le pH en compensant l’acidité naturelle du malt. 
L’ébullition et/ou la dilution permettent de diminuer sa concentration dans l’eau. 
En excès peut donner un goût savonneux.</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<sst xmlns="http://schemas.openxmlformats.org/spreadsheetml/2006/main" count="6380" uniqueCount="2613">
  <si>
    <t>LEVURES</t>
  </si>
  <si>
    <t>Type</t>
  </si>
  <si>
    <t>EBC</t>
  </si>
  <si>
    <t>Pilsen Swaen</t>
  </si>
  <si>
    <t>Cascade</t>
  </si>
  <si>
    <t>Pale ale Swaen</t>
  </si>
  <si>
    <t>Munich light Swaen</t>
  </si>
  <si>
    <t>Chinook</t>
  </si>
  <si>
    <t>Vienna Swaen</t>
  </si>
  <si>
    <t>Citra</t>
  </si>
  <si>
    <t>Magnum</t>
  </si>
  <si>
    <t>Pilsen vieux silo</t>
  </si>
  <si>
    <t>Cara-clair</t>
  </si>
  <si>
    <t>Cara Ruby</t>
  </si>
  <si>
    <t>Café light</t>
  </si>
  <si>
    <t>Black</t>
  </si>
  <si>
    <t>Special B</t>
  </si>
  <si>
    <t>OYL-062 - Voss Kveik</t>
  </si>
  <si>
    <t>Seigle Chocolat</t>
  </si>
  <si>
    <t>Pale ale Château</t>
  </si>
  <si>
    <t>Caractéristiques des malts</t>
  </si>
  <si>
    <t>Rendement max</t>
  </si>
  <si>
    <t>%max</t>
  </si>
  <si>
    <t>pH</t>
  </si>
  <si>
    <t>Abbaye</t>
  </si>
  <si>
    <t>Arôme</t>
  </si>
  <si>
    <t>Avoine (flocons)</t>
  </si>
  <si>
    <t>Biscuit Malt</t>
  </si>
  <si>
    <t>Black of black</t>
  </si>
  <si>
    <t>Blé (flocons)</t>
  </si>
  <si>
    <t>Café</t>
  </si>
  <si>
    <t>Cara Belge</t>
  </si>
  <si>
    <t>Cara Bohemian</t>
  </si>
  <si>
    <t>Cara Gold</t>
  </si>
  <si>
    <t>Cara-Blond</t>
  </si>
  <si>
    <t>Chocolat</t>
  </si>
  <si>
    <t>Crystal</t>
  </si>
  <si>
    <t>Dextrine/Cara pils Malt</t>
  </si>
  <si>
    <t>Froment</t>
  </si>
  <si>
    <t>Froment Black</t>
  </si>
  <si>
    <t>Froment Chocolat</t>
  </si>
  <si>
    <t>Froment Crystal</t>
  </si>
  <si>
    <t>Froment Munich</t>
  </si>
  <si>
    <t>Froment Munich light</t>
  </si>
  <si>
    <t>Maïs (flocons)</t>
  </si>
  <si>
    <t>Melano light</t>
  </si>
  <si>
    <t>Munich light</t>
  </si>
  <si>
    <t>Munich Malt</t>
  </si>
  <si>
    <t>Orge (flocons)</t>
  </si>
  <si>
    <t>Pale ale 2 rangs</t>
  </si>
  <si>
    <t>Pilsen 2 rangs</t>
  </si>
  <si>
    <t>Pilsen 6 rangs</t>
  </si>
  <si>
    <t>Riz (flocons)</t>
  </si>
  <si>
    <t>Roasted Barley</t>
  </si>
  <si>
    <t>Seigle</t>
  </si>
  <si>
    <t>Vienna</t>
  </si>
  <si>
    <t>en sotck</t>
  </si>
  <si>
    <t>DME blond</t>
  </si>
  <si>
    <t>DME ambré</t>
  </si>
  <si>
    <t>DME foncé</t>
  </si>
  <si>
    <t>DME noir</t>
  </si>
  <si>
    <t>LME blond</t>
  </si>
  <si>
    <t>LME ambré</t>
  </si>
  <si>
    <t>LME foncé</t>
  </si>
  <si>
    <t>Caractéristiques des levures</t>
  </si>
  <si>
    <t>Nom</t>
  </si>
  <si>
    <t>Atténuation min</t>
  </si>
  <si>
    <t>Atténuation max</t>
  </si>
  <si>
    <t>Atténuation moyenne calculée</t>
  </si>
  <si>
    <t>T°C min</t>
  </si>
  <si>
    <t>T°C max</t>
  </si>
  <si>
    <t>Floculation</t>
  </si>
  <si>
    <t>Sèche</t>
  </si>
  <si>
    <t>Moyenne</t>
  </si>
  <si>
    <t>Liquide</t>
  </si>
  <si>
    <t>Faible</t>
  </si>
  <si>
    <t>Très forte</t>
  </si>
  <si>
    <t>Forte</t>
  </si>
  <si>
    <t>Timing</t>
  </si>
  <si>
    <t>Region</t>
  </si>
  <si>
    <t>Aroma</t>
  </si>
  <si>
    <t>Admiral</t>
  </si>
  <si>
    <t>Bittering</t>
  </si>
  <si>
    <t>English</t>
  </si>
  <si>
    <t>Ahtanum</t>
  </si>
  <si>
    <t>Finishing</t>
  </si>
  <si>
    <t>Amarillo</t>
  </si>
  <si>
    <t>Dual Purpose</t>
  </si>
  <si>
    <t>Apollo</t>
  </si>
  <si>
    <t>Aquila</t>
  </si>
  <si>
    <t>Aramis</t>
  </si>
  <si>
    <t>Aurora</t>
  </si>
  <si>
    <t>Slovenia</t>
  </si>
  <si>
    <t>Styrian Golding</t>
  </si>
  <si>
    <t>Azacca</t>
  </si>
  <si>
    <t>Banner</t>
  </si>
  <si>
    <t>Bitter Gold</t>
  </si>
  <si>
    <t>Belgian Ales</t>
  </si>
  <si>
    <t>Blanc</t>
  </si>
  <si>
    <t>German</t>
  </si>
  <si>
    <t>American Ales</t>
  </si>
  <si>
    <t>Nelson Sauvin</t>
  </si>
  <si>
    <t>Boadicea</t>
  </si>
  <si>
    <t>Bobek</t>
  </si>
  <si>
    <t>Bramling Cross</t>
  </si>
  <si>
    <t>Bravo</t>
  </si>
  <si>
    <t>Columbus</t>
  </si>
  <si>
    <t>Brewers Gold</t>
  </si>
  <si>
    <t>Bullion</t>
  </si>
  <si>
    <t>Calypso</t>
  </si>
  <si>
    <t>Cashmere</t>
  </si>
  <si>
    <t>Celeia</t>
  </si>
  <si>
    <t>Centennial</t>
  </si>
  <si>
    <t>Challenger</t>
  </si>
  <si>
    <t>Chelan</t>
  </si>
  <si>
    <t>Cluster</t>
  </si>
  <si>
    <t>Columbia</t>
  </si>
  <si>
    <t>Comet</t>
  </si>
  <si>
    <t>Galena</t>
  </si>
  <si>
    <t>Delta</t>
  </si>
  <si>
    <t>Dr.rudi</t>
  </si>
  <si>
    <t>New Zealand</t>
  </si>
  <si>
    <t>Green Bullet</t>
  </si>
  <si>
    <t>East Kent Golding (ekg)</t>
  </si>
  <si>
    <t>El Dorado</t>
  </si>
  <si>
    <t>Ella</t>
  </si>
  <si>
    <t>Australian</t>
  </si>
  <si>
    <t>Equinox (hbc 366)</t>
  </si>
  <si>
    <t>Eroica</t>
  </si>
  <si>
    <t>Eureka!</t>
  </si>
  <si>
    <t>Falconers Flight</t>
  </si>
  <si>
    <t>Premium Blend</t>
  </si>
  <si>
    <t>Falconers Flight 7c's</t>
  </si>
  <si>
    <t>First Gold</t>
  </si>
  <si>
    <t>Any Golding variety</t>
  </si>
  <si>
    <t>Fuggle</t>
  </si>
  <si>
    <t>Galaxy</t>
  </si>
  <si>
    <t>Glacier</t>
  </si>
  <si>
    <t>Golding</t>
  </si>
  <si>
    <t>Hallertau</t>
  </si>
  <si>
    <t>Hallertau Blanc</t>
  </si>
  <si>
    <t>Hallertau Hallertauer</t>
  </si>
  <si>
    <t>Hallertau Mittelfruh</t>
  </si>
  <si>
    <t>Hallertauer</t>
  </si>
  <si>
    <t>Helga</t>
  </si>
  <si>
    <t>English Ales</t>
  </si>
  <si>
    <t>Herald</t>
  </si>
  <si>
    <t>Pioneer</t>
  </si>
  <si>
    <t>Herkules</t>
  </si>
  <si>
    <t>Hersbrucker</t>
  </si>
  <si>
    <t>Horizon</t>
  </si>
  <si>
    <t>Huell Melon</t>
  </si>
  <si>
    <t>Hüller</t>
  </si>
  <si>
    <t>Idaho 7</t>
  </si>
  <si>
    <t>Jarrylo</t>
  </si>
  <si>
    <t>Kohatu</t>
  </si>
  <si>
    <t>Liberty</t>
  </si>
  <si>
    <t>Loral</t>
  </si>
  <si>
    <t>Lublin</t>
  </si>
  <si>
    <t>European Lagers</t>
  </si>
  <si>
    <t>Mandarina Bavaria</t>
  </si>
  <si>
    <t>Medusa</t>
  </si>
  <si>
    <t>Meridian</t>
  </si>
  <si>
    <t>Merkur</t>
  </si>
  <si>
    <t>Millennium</t>
  </si>
  <si>
    <t>Mosaic</t>
  </si>
  <si>
    <t>Motueka</t>
  </si>
  <si>
    <t>Mt. Hood</t>
  </si>
  <si>
    <t>Newport</t>
  </si>
  <si>
    <t>Northdown</t>
  </si>
  <si>
    <t>Olympic</t>
  </si>
  <si>
    <t>Omega</t>
  </si>
  <si>
    <t>Any high alpha hop</t>
  </si>
  <si>
    <t>Opal</t>
  </si>
  <si>
    <t>Orion</t>
  </si>
  <si>
    <t>Pacific Gem</t>
  </si>
  <si>
    <t>Pacific Jade</t>
  </si>
  <si>
    <t>Pacifica</t>
  </si>
  <si>
    <t>Palisade</t>
  </si>
  <si>
    <t>Phoenix</t>
  </si>
  <si>
    <t>Pilgrim</t>
  </si>
  <si>
    <t>Pilot</t>
  </si>
  <si>
    <t>Polaris</t>
  </si>
  <si>
    <t>Premiant</t>
  </si>
  <si>
    <t>Czech Republic</t>
  </si>
  <si>
    <t>Pride Of Ringwood</t>
  </si>
  <si>
    <t>Progress</t>
  </si>
  <si>
    <t>Rainier</t>
  </si>
  <si>
    <t>Lagers</t>
  </si>
  <si>
    <t>Rakau</t>
  </si>
  <si>
    <t>Riwaka</t>
  </si>
  <si>
    <t>Santiam</t>
  </si>
  <si>
    <t>Saphir</t>
  </si>
  <si>
    <t>Simcoe</t>
  </si>
  <si>
    <t>Sládek</t>
  </si>
  <si>
    <t>Saaz</t>
  </si>
  <si>
    <t>Smaragd</t>
  </si>
  <si>
    <t>Sorachi Ace</t>
  </si>
  <si>
    <t>Southern Cross</t>
  </si>
  <si>
    <t>Australian Lagers</t>
  </si>
  <si>
    <t>Sovereign</t>
  </si>
  <si>
    <t>Spalt</t>
  </si>
  <si>
    <t>Spalter Select</t>
  </si>
  <si>
    <t>Sterling</t>
  </si>
  <si>
    <t>Sticklebract</t>
  </si>
  <si>
    <t>Strisselspalt</t>
  </si>
  <si>
    <t>Summer</t>
  </si>
  <si>
    <t>Summit</t>
  </si>
  <si>
    <t>Sun</t>
  </si>
  <si>
    <t>Super Galena</t>
  </si>
  <si>
    <t>Super Pride</t>
  </si>
  <si>
    <t>Pride of Ringwood</t>
  </si>
  <si>
    <t>Sussex</t>
  </si>
  <si>
    <t>Sylva</t>
  </si>
  <si>
    <t>Talisman</t>
  </si>
  <si>
    <t>Target</t>
  </si>
  <si>
    <t>Taurus</t>
  </si>
  <si>
    <t>Tettnang</t>
  </si>
  <si>
    <t>Tomahawk</t>
  </si>
  <si>
    <t>Tradition</t>
  </si>
  <si>
    <t>Ultra</t>
  </si>
  <si>
    <t>Vanguard</t>
  </si>
  <si>
    <t>Waimea</t>
  </si>
  <si>
    <t>Wakatu</t>
  </si>
  <si>
    <t>Warrior</t>
  </si>
  <si>
    <t>Willamette</t>
  </si>
  <si>
    <t>Yeoman</t>
  </si>
  <si>
    <t>Zenith</t>
  </si>
  <si>
    <t>Zeus</t>
  </si>
  <si>
    <t>Zythos</t>
  </si>
  <si>
    <t>English IPA
Other Ales</t>
  </si>
  <si>
    <t>Pleasant
Resin
Citrus
Orange
Herbal</t>
  </si>
  <si>
    <t>Challenger
Northdown</t>
  </si>
  <si>
    <t>US</t>
  </si>
  <si>
    <t>Citrus
Grapefruit 
Geranium</t>
  </si>
  <si>
    <t>Amarillo
Cascade</t>
  </si>
  <si>
    <t>Pale Ales
IPAs
Porters</t>
  </si>
  <si>
    <t>Cascade
Centennial</t>
  </si>
  <si>
    <t>Hoppy Beers</t>
  </si>
  <si>
    <t>Citrus
Grapefruit
Orange 
Piney</t>
  </si>
  <si>
    <t>Magnum
Columbus</t>
  </si>
  <si>
    <t>Cluster
Galena</t>
  </si>
  <si>
    <t>Willamette
Challenger
Ahtanum</t>
  </si>
  <si>
    <t>Ales
Lagers</t>
  </si>
  <si>
    <t>Noble</t>
  </si>
  <si>
    <t>Pale Ales
IPAs</t>
  </si>
  <si>
    <t>Tropical
Fruity 
Citrus</t>
  </si>
  <si>
    <t>Amarillo
Citra
Delta</t>
  </si>
  <si>
    <t>American Lagers</t>
  </si>
  <si>
    <t>Aquila
Cluster
Galena</t>
  </si>
  <si>
    <t>Pear
Watermelon
Stone Fruit 
Grassy</t>
  </si>
  <si>
    <t>Nugget
Galena</t>
  </si>
  <si>
    <t>Floral 
Fruity
Passion Fruit
Grapefruit
Pineyapple
Grape 
Lemongrass</t>
  </si>
  <si>
    <t>Pilsners
English Pale</t>
  </si>
  <si>
    <t>Floral
Orchard Blossom 
Fruity</t>
  </si>
  <si>
    <t>Green Bullet
Cascade
Chinook</t>
  </si>
  <si>
    <t>Ale
Pilsner
Lager
Strong Bitter</t>
  </si>
  <si>
    <t>Intense
Pleasant
Floral 
Piney</t>
  </si>
  <si>
    <t>Fuggle
Styrian Golding
Willamette</t>
  </si>
  <si>
    <t>Spiced Ales</t>
  </si>
  <si>
    <t>Spicy
Blackcurrant
Loganberry 
Lemon</t>
  </si>
  <si>
    <t>Bullion
Northern Brewer
Galena</t>
  </si>
  <si>
    <t>American IPA
American Pale Ale
American Stout</t>
  </si>
  <si>
    <t>Orange
Vanilla 
Floral</t>
  </si>
  <si>
    <t>Stouts
Dark Ales</t>
  </si>
  <si>
    <t>Blackcurrant
Fruity
Spicy</t>
  </si>
  <si>
    <t>Chinook
Galena
Nugget</t>
  </si>
  <si>
    <t>Strong
Blackcurrant</t>
  </si>
  <si>
    <t>Ales
Stouts
Barley Wines</t>
  </si>
  <si>
    <t>Pleasant
Fruity
Pear 
Apple</t>
  </si>
  <si>
    <t>Cascade
Galena</t>
  </si>
  <si>
    <t>All US Ales
IPAs
Porters
Barley Wines
Witbier</t>
  </si>
  <si>
    <t>Medium Intense
Floral
Citrus 
Grapefruit</t>
  </si>
  <si>
    <t>Amarillo
Centennial
Ahtanum</t>
  </si>
  <si>
    <t>Sours
Brett Fermentation
Saisons
IPA</t>
  </si>
  <si>
    <t>English Ales
Lagers
Pilsners
English Ales
ESBs</t>
  </si>
  <si>
    <t>All US Ales
IPAs
Wheat Beers</t>
  </si>
  <si>
    <t>Cascade
Chinook
Columbus
Amarillo</t>
  </si>
  <si>
    <t>British Ales
British Lagers</t>
  </si>
  <si>
    <t>Cedar
Green Tea 
Fruity</t>
  </si>
  <si>
    <t>Northern Brewer
Perle</t>
  </si>
  <si>
    <t>Mild
Floral 
Citrus</t>
  </si>
  <si>
    <t>Galena
Nugget</t>
  </si>
  <si>
    <t>US Pale Ales
IPAs
Stouts
Porters
Lagers</t>
  </si>
  <si>
    <t>Grapefruit
Spicy
Piney</t>
  </si>
  <si>
    <t>Nugget
Columbus
Northern Brewer</t>
  </si>
  <si>
    <t>US Pale Ales
IPAs
Double IPAs</t>
  </si>
  <si>
    <t>Ales
Lagers
Stouts</t>
  </si>
  <si>
    <t>Floral
Earthy 
Fruity</t>
  </si>
  <si>
    <t>Galena
Chinook
Eroica
Nugget</t>
  </si>
  <si>
    <t>Ambers
Ales
Pale Ales
Porters
Stouts</t>
  </si>
  <si>
    <t>Earthy
Fruity
"Fuggle-like"</t>
  </si>
  <si>
    <t>Centennial
Chinook
Eroica</t>
  </si>
  <si>
    <t>US IPAs
US Pale Ales
Stouts
Barley Wines
Lagers</t>
  </si>
  <si>
    <t>Black Pepper
Licorice
Curry 
Citrus</t>
  </si>
  <si>
    <t>Centennial
Chinook
Galena
Nugget
Millennium</t>
  </si>
  <si>
    <t>Most Ales
Most Lagers</t>
  </si>
  <si>
    <t>Subtle
"Wild American"
Grassy 
Grapefruit</t>
  </si>
  <si>
    <t>Lagers
Kolsch
ESBs
Pilsners
IPAs
Pale Ales
Belgian Ales</t>
  </si>
  <si>
    <t>Woody 
Green</t>
  </si>
  <si>
    <t>Mt. Hood
Hersbrucker
Strisselspalt
Liberty
Hallertau</t>
  </si>
  <si>
    <t>American Pale Ales
American IPA</t>
  </si>
  <si>
    <t>Mild
Pleasant
Spicy
Citrus</t>
  </si>
  <si>
    <t>Fuggle
Willamette</t>
  </si>
  <si>
    <t>Resin
Piney
Lemongrass</t>
  </si>
  <si>
    <t>Classic English Ales
ESB
English Bitter
Belgian Ales</t>
  </si>
  <si>
    <t>Floral
Lavender
Spicy
Honey
Earthy
Lemon 
Thyme</t>
  </si>
  <si>
    <t>Goldings (BC)
Fuggle
Willamette</t>
  </si>
  <si>
    <t>US Pale Ales
IPAs</t>
  </si>
  <si>
    <t>Pear
Watermelon
Stone Fruit</t>
  </si>
  <si>
    <t>Citra
Nelson Sauvin
Rakau</t>
  </si>
  <si>
    <t>Lagers
Pilsners</t>
  </si>
  <si>
    <t>Grapefruit 
Tropical</t>
  </si>
  <si>
    <t>Perle
Palisade</t>
  </si>
  <si>
    <t>IPAs
Pales
Session IPAs</t>
  </si>
  <si>
    <t>Intense
Citrus
Tropical
Fruity
Floral 
Herbal
Lemon
Lime
Papaya
Apple
Green Pepper</t>
  </si>
  <si>
    <t>Citra
Galaxy</t>
  </si>
  <si>
    <t>Pale Ales
Dark Ales
Stouts</t>
  </si>
  <si>
    <t>Fruity</t>
  </si>
  <si>
    <t>Brewer's Gold
Chinook
Cluster
Galena
Nugget</t>
  </si>
  <si>
    <t>Bitters
German Ales
Lagers</t>
  </si>
  <si>
    <t>Citrus
Peach 
Piney
Stone Fruit 
Mandarin</t>
  </si>
  <si>
    <t>US IPAs
Pale Ales
Lagers</t>
  </si>
  <si>
    <t>Tropical
Floral
Lemon 
Grapefruit</t>
  </si>
  <si>
    <t>Citra
Simcoe
Amarillo
Sorachi Ace
Summit
Cascade</t>
  </si>
  <si>
    <t>US IPAs
Pale Ales
Lagers
IBAs
Black IPAs
APAs</t>
  </si>
  <si>
    <t>Strong
Fruity
Citrus
Spicy 
Earthy</t>
  </si>
  <si>
    <t>Citra
Simcoe
Amarillo
Falconer's Flight
Cascade
Centennial
Chinook
Columbus
Cluster
Crystal</t>
  </si>
  <si>
    <t>English Ales
Porters
Fruit Beers</t>
  </si>
  <si>
    <t>Smooth
Tangerine
Orange Marmalade
Apricot
Geranium 
Magnolia</t>
  </si>
  <si>
    <t>Any English Beers
US Ales
Lambics</t>
  </si>
  <si>
    <t>Mild
Woody
Grassy
Mint</t>
  </si>
  <si>
    <t>Fuggle (UK)
Willamette
Styrian Golding
East Kent Golding</t>
  </si>
  <si>
    <t>Fuggle (UK)</t>
  </si>
  <si>
    <t>English Ales
Belgian Ales
ESBs
Bitters
Lagers
Lambics</t>
  </si>
  <si>
    <t>Pleasant
Mint
Grassy 
Floral</t>
  </si>
  <si>
    <t>Fuggle (US)
Willamette
Styrian Golding</t>
  </si>
  <si>
    <t>Pale Ales
IPAs
Barley Wines</t>
  </si>
  <si>
    <t>Passion Fruit 
Citrus</t>
  </si>
  <si>
    <t>Simcoe
Citra
Amarillo</t>
  </si>
  <si>
    <t>American Ales
Stouts 
Lagers
All Beer styles</t>
  </si>
  <si>
    <t>Fruity
Pear
Pineyapple
Blackcurrant
Grapefruit
Lime
Gooseberry 
Spicy
Woody</t>
  </si>
  <si>
    <t>Brewer's Gold
Columbus
Nugget</t>
  </si>
  <si>
    <t>Pale Ales
ESBs
English Pale Ales
Porters
Stouts</t>
  </si>
  <si>
    <t>Plum
Blackberry 
Woody</t>
  </si>
  <si>
    <t>English Ales
ESB
English Bitter
Belgian Ales
Barley Wines</t>
  </si>
  <si>
    <t>Floral</t>
  </si>
  <si>
    <t>East Kent Golding (UK)
Fuggle
Willamette
Styrian Golding</t>
  </si>
  <si>
    <t>Lagers
Ales
Stouts</t>
  </si>
  <si>
    <t>Spicy
Fruity
Floral
Pineyy</t>
  </si>
  <si>
    <t>Liberty
Hallertauer
Mt. Hood</t>
  </si>
  <si>
    <t>Lagers
Pilsners
Weizens
Beglain Ales
Altbier
Lambic
Kölsch
Munich Helles</t>
  </si>
  <si>
    <t>Noble
Earthy
Herbal</t>
  </si>
  <si>
    <t>Mt. Hood
Liberty
Crystal
Hallertau (GR)
Tradition (GR)</t>
  </si>
  <si>
    <t>IPA
Belgian Ales
Wheat Beer
Brett Fermentaions</t>
  </si>
  <si>
    <t>Strong
Pineyapple
Gooseberry
White Grape
Lemongrass
Passion Fruit</t>
  </si>
  <si>
    <t>Wheats
Altbiers
Pilseners
Belgian Ales
American Lagers
German Lagers</t>
  </si>
  <si>
    <t>Mild
Floral
Citrus</t>
  </si>
  <si>
    <t>Mt. Hood
Liberty
Crystal</t>
  </si>
  <si>
    <t>Stock Ales
Altbiers
Belgian Ales
Continental Lagers
Pilsner
Bock
Lager
Wheat</t>
  </si>
  <si>
    <t>Mild
Spicy
Floral 
Citrus</t>
  </si>
  <si>
    <t>Any Hallertau
Liberty
Vanguard
Tradition (GR)</t>
  </si>
  <si>
    <t>Organic Pilsner
Lager
German Beers</t>
  </si>
  <si>
    <t>Earthy
Woody
Citrus</t>
  </si>
  <si>
    <t>Pleasant
Noble</t>
  </si>
  <si>
    <t>Dark Ales
Golden Ales
Pale Ales
Strong Bitters</t>
  </si>
  <si>
    <t>Orange 
Grapefruit</t>
  </si>
  <si>
    <t>German Ales
German Lagers</t>
  </si>
  <si>
    <t>Citrus 
Melon</t>
  </si>
  <si>
    <t>Taurus
Warrior</t>
  </si>
  <si>
    <t>Hay
Tobacco 
Orange</t>
  </si>
  <si>
    <t>Hallertau
Mt. Hood
Liberty
Spalt</t>
  </si>
  <si>
    <t>US Ales</t>
  </si>
  <si>
    <t>Floral Bouquet 
Spicy</t>
  </si>
  <si>
    <t>Belgian Ales
Hefeweizens</t>
  </si>
  <si>
    <t>Honeymoon Melon 
Strawberry</t>
  </si>
  <si>
    <t>Belma
Jarrylo</t>
  </si>
  <si>
    <t>IPA
Pale Ale
Hoppy Beers</t>
  </si>
  <si>
    <t>Tropical
Fruity
Citrus
Apricot
Orange
Red Grapefruit
Papaya
Piney 
Black Tea</t>
  </si>
  <si>
    <t>Wheat Beers
Saisons
Pale Ales</t>
  </si>
  <si>
    <t>White Wine
Strong Lemon Lime
Orange
Pear
Spicy</t>
  </si>
  <si>
    <t>Motueka
Nelson Sauvin
Mosaic</t>
  </si>
  <si>
    <t>Belgian Ales
Wheat Beers
Blonde Ales
IPAs
Pale Ales</t>
  </si>
  <si>
    <t>Tropical
Fruity</t>
  </si>
  <si>
    <t>Wai-iti
Motueka</t>
  </si>
  <si>
    <t>US Lagers
German Lagers
Pilsners
Bocks
Kölsch
Wheats</t>
  </si>
  <si>
    <t>Noble
Floral Boquet 
Spicy</t>
  </si>
  <si>
    <t>Hallertau (US)
Hallertau (GR)
Mt. Hood
Crystal</t>
  </si>
  <si>
    <t>All Beers</t>
  </si>
  <si>
    <t xml:space="preserve">
Floral
Pepper
Citrus
Fruity</t>
  </si>
  <si>
    <t>Poland</t>
  </si>
  <si>
    <t>Spicy
Flowers</t>
  </si>
  <si>
    <t>Czech Saaz
Tettnang</t>
  </si>
  <si>
    <t>Magnum (GR)</t>
  </si>
  <si>
    <t>All Ales
All Lagers</t>
  </si>
  <si>
    <t>Apple 
Pepper</t>
  </si>
  <si>
    <t>Magnum (US)
Nugget
Taurus</t>
  </si>
  <si>
    <t>Magnum (US)</t>
  </si>
  <si>
    <t>Galena
Magnum (GR)
Horizon</t>
  </si>
  <si>
    <t>Dark Beers 
All Specialty Beers</t>
  </si>
  <si>
    <t>Fruity 
Citrus
Tangerine 
Citrus</t>
  </si>
  <si>
    <t>Hoppy Ales
Lagers
Fruit Beers
Belgians</t>
  </si>
  <si>
    <t>Quava
Melon
Apricot
Lemon
Lime
Alfalfa</t>
  </si>
  <si>
    <t>Belgian Ales
Pale Ales
Lagers
IPAs</t>
  </si>
  <si>
    <t>Lemon
Berries
Tropical
Fruity
Mint</t>
  </si>
  <si>
    <t>Citra
Glacier
Centennial</t>
  </si>
  <si>
    <t>IPAs
Lagers
Belgian Ales</t>
  </si>
  <si>
    <t>Sugar
Pineyapple 
Mint</t>
  </si>
  <si>
    <t>Magnum (GR)
Taurus (GR)
Tradition (GR)</t>
  </si>
  <si>
    <t>Resin
Floral
Toffee 
Pear</t>
  </si>
  <si>
    <t>Nugget
Columbus</t>
  </si>
  <si>
    <t>Blueberry
Tangerine
Papaya
Rose
Blossoms
Bubble Gum</t>
  </si>
  <si>
    <t>Citra
Simcoe</t>
  </si>
  <si>
    <t>European Lagers
Belgian Ales
English Ales
Pilsners</t>
  </si>
  <si>
    <t>Citrus
Lime 
Lemon 
Lime
Tropical
Fruity</t>
  </si>
  <si>
    <t>Saaz (US)
Sterling</t>
  </si>
  <si>
    <t>US Ales
Us Lagers
German Ales
German Lagers
Pilsners
Bocks
Altbier
Munich Helles
Wheat</t>
  </si>
  <si>
    <t>Herbal
Pungent 
Spicy</t>
  </si>
  <si>
    <t>Hallertau (GR)
Hersbrucker (GR)
Liberty
Crystal</t>
  </si>
  <si>
    <t>US Ales
Lagers</t>
  </si>
  <si>
    <t>Motueka
Riwaka</t>
  </si>
  <si>
    <t>Earthy
Citrus
Wine 
Balsamic</t>
  </si>
  <si>
    <t>Brewer's Gold
Fuggle
Galena
Magnum
Nugget</t>
  </si>
  <si>
    <t>Porters</t>
  </si>
  <si>
    <t>Pleasant
Spicy
Cedar 
Piney
Floral 
Berries</t>
  </si>
  <si>
    <t>Northern Brewer
Target</t>
  </si>
  <si>
    <t>Northern Brewer (GR)</t>
  </si>
  <si>
    <t>Mint
Piney 
Grassy</t>
  </si>
  <si>
    <t>Northern Brewer (US)
Brewers Gold
Chinook</t>
  </si>
  <si>
    <t>Northern Brewer (US)</t>
  </si>
  <si>
    <t>Porters
Ales
Kolsch
Munich Helles
ESBs
German Lagers
Steam Beers</t>
  </si>
  <si>
    <t>Evergreen
Woody 
Mint</t>
  </si>
  <si>
    <t>Galena
Perle
Magnum
Chinook
Northern Brewer (GR)</t>
  </si>
  <si>
    <t>Nugget (US)</t>
  </si>
  <si>
    <t>Ales
Stouts
Barley Wines
Saisons
Biere de Garde</t>
  </si>
  <si>
    <t>Mild
Pleasant
Herbal</t>
  </si>
  <si>
    <t>Galena
Magnum
Columbus</t>
  </si>
  <si>
    <t>Citrus 
Spicy</t>
  </si>
  <si>
    <t>Brewers Gold
Chinook
Galena</t>
  </si>
  <si>
    <t>Pleasant
European</t>
  </si>
  <si>
    <t>Belgian Ales
Hefeweizens
Helles
Lagers
Pilsners</t>
  </si>
  <si>
    <t>Spicy
Pepper
Citrus 
Fruity
Floral 
Herbal</t>
  </si>
  <si>
    <t>East Kent Golding
Styrian Golding
Tettnanger</t>
  </si>
  <si>
    <t>German Ales 
Gemran Lagers</t>
  </si>
  <si>
    <t>Organic Pale Ales
IPAs
Lagers</t>
  </si>
  <si>
    <t>Spicy
Black Pepper 
Berries
Fruity
Blackberry
Floral
Oak</t>
  </si>
  <si>
    <t>Cluster
Magnum
Galena</t>
  </si>
  <si>
    <t>Lagers
Full bodied Ales</t>
  </si>
  <si>
    <t>Citrus 
Spicy
Herbal
Black Pepper</t>
  </si>
  <si>
    <t>Pale Ales</t>
  </si>
  <si>
    <t>Citrus
Floral</t>
  </si>
  <si>
    <t>English Ales
US Ales</t>
  </si>
  <si>
    <t>Apricot
Grassy 
Floral</t>
  </si>
  <si>
    <t>Willamette
Glacier</t>
  </si>
  <si>
    <t>Perle (GR)</t>
  </si>
  <si>
    <t>Kölsch
Lagers
Pilsners</t>
  </si>
  <si>
    <t>Herbal 
Spicy
Floral
Fruit 
Mint</t>
  </si>
  <si>
    <t>Northern Brewer
Perle (US)</t>
  </si>
  <si>
    <t>Perle (US)</t>
  </si>
  <si>
    <t>Pale Ales
Porters
Stouts
Lagers
Weizen
Altbier
Barley Wines
Kolsch</t>
  </si>
  <si>
    <t>Floral 
Spicy</t>
  </si>
  <si>
    <t>Perle (GR)
Northern Brewer
Cluster
Galena</t>
  </si>
  <si>
    <t>English Ales 
Porters
Stouts
ESBs
English Bitters</t>
  </si>
  <si>
    <t>Chocolate
Piney
Molasses
Floral</t>
  </si>
  <si>
    <t>Challenger (UK)
Northdown (UK)</t>
  </si>
  <si>
    <t>Enlish Pale Ales
Nut Brown Ales
Stouts</t>
  </si>
  <si>
    <t>Fruity
Spicy
Lemon
Grapefruit
Pear 
Berries</t>
  </si>
  <si>
    <t>Challenger
Pioneer
Challenger</t>
  </si>
  <si>
    <t>American Ales
English Ales</t>
  </si>
  <si>
    <t>Lemon
Spicy 
Marmalade</t>
  </si>
  <si>
    <t>English Ales
ESBs
English Bitters</t>
  </si>
  <si>
    <t>Citrus
Lemon 
Grapefruit
Herbal
Cedar</t>
  </si>
  <si>
    <t>Yeoman
Herald
Omega</t>
  </si>
  <si>
    <t>Ales
Pale Ales
Stouts</t>
  </si>
  <si>
    <t>Mint
Pineyapple 
Menthol</t>
  </si>
  <si>
    <t>Pilsners
Ales
Lagers</t>
  </si>
  <si>
    <t>Pleasant
Mild</t>
  </si>
  <si>
    <t>Styrian Golding
Saaz</t>
  </si>
  <si>
    <t>British Ales
Australian Ales 
Australian Lagers</t>
  </si>
  <si>
    <t>Pleasant
Cedar
Oak 
Herbal</t>
  </si>
  <si>
    <t>Centennial
Galena
Cluster</t>
  </si>
  <si>
    <t>Cask Ales
English Ales
Scottish Ales</t>
  </si>
  <si>
    <t>Grassy
Mint
Sweet
Honey
Blackcurrant</t>
  </si>
  <si>
    <t>Goldings
Fuggle</t>
  </si>
  <si>
    <t>Noble
Licorice 
Floral bouquet</t>
  </si>
  <si>
    <t>Fuggle
Hallertauer</t>
  </si>
  <si>
    <t>IPAs
Belgian Ales
Pale Ales
Lagers</t>
  </si>
  <si>
    <t>Stone Fruit 
Fig
Fruity
Apricot
Piney</t>
  </si>
  <si>
    <t>Amarillo
Summit</t>
  </si>
  <si>
    <t>Pale Ales
Hoppy Ales</t>
  </si>
  <si>
    <t>Passion Fruit
Grapefruit 
Citrus</t>
  </si>
  <si>
    <t>Saaz (Czech)</t>
  </si>
  <si>
    <t>Bohemian Beers
Continental Lagers
Wheats
Pilsener Lagers</t>
  </si>
  <si>
    <t>Mild
Earthy
Herbal 
Floral</t>
  </si>
  <si>
    <t>Polish Lublin
Saaz (US)
Sterling (US)
Tettnang</t>
  </si>
  <si>
    <t>Saaz (US)</t>
  </si>
  <si>
    <t>Pilsners
Lagers
Wheats
Belgian Ales</t>
  </si>
  <si>
    <t>Earthy
Spicy</t>
  </si>
  <si>
    <t>Czech Saaz
Polish Lublin
Sterling
Tettnang</t>
  </si>
  <si>
    <t>Lagers
Pilsners
Belgian Tripel
Kolsch
Bocks
Munich Helles</t>
  </si>
  <si>
    <t>Black Pepper
Floral 
Spicy</t>
  </si>
  <si>
    <t>Citra
Spalt (GR)
Spalter Select (GR)
Tettnang (GR)</t>
  </si>
  <si>
    <t>Pilsners
German Lagers
Belgian Whites</t>
  </si>
  <si>
    <t>Spicy
Fruity 
Floral
Tangerine</t>
  </si>
  <si>
    <t>US Ales
Pale Ales
IPAs
Double IPAs</t>
  </si>
  <si>
    <t>Passion Fruit
Piney
Berries 
Earthy</t>
  </si>
  <si>
    <t>Summit
Magnum
Amarillo
Cascade
Centennial</t>
  </si>
  <si>
    <t>Fruity
Peach
Passion Fruit
Grapefruit</t>
  </si>
  <si>
    <t>Pilsners
German Ales
German Lagers
Belgian Styles
Weissbier</t>
  </si>
  <si>
    <t>Floral
Spicy 
Fruity</t>
  </si>
  <si>
    <t>Belgian Wits
IPAs
Pale Ales
Belgian Saisons</t>
  </si>
  <si>
    <t>Lemon
Lime 
Dill</t>
  </si>
  <si>
    <t>Citrus 
Tropical
Fruity
Lemon
Lime
Piney 
Spicy</t>
  </si>
  <si>
    <t>Pale Ales
Lagers</t>
  </si>
  <si>
    <t>Pleasant
Intense
Fruity
Floral
Grassy
Herbal 
Mint</t>
  </si>
  <si>
    <t>German Bocks
Ales
Lagers
Pilsners
Munich Helles</t>
  </si>
  <si>
    <t>Noble
Earthy
Spicy
Herbal
Floral</t>
  </si>
  <si>
    <t>Saaz
Tettnang
Ultra</t>
  </si>
  <si>
    <t>Kölsch
Belgian Ales
French Ales</t>
  </si>
  <si>
    <t>Spicy 
Grassy</t>
  </si>
  <si>
    <t>Tettnanger (US)
Tettnanger (GR)
Saaz (US)
Saaz (Czech)
Spalt</t>
  </si>
  <si>
    <t>Ale
Pilsner
Lager</t>
  </si>
  <si>
    <t>Noble 
Spicy</t>
  </si>
  <si>
    <t>Saaz
Mt Hood</t>
  </si>
  <si>
    <t>Pale Ales
ESB
Porters
Lagers
Pilsners</t>
  </si>
  <si>
    <t>Citrus 
Piney</t>
  </si>
  <si>
    <t>Northern Brewer (GR)
Hersbrucker
Hallertau</t>
  </si>
  <si>
    <t>France</t>
  </si>
  <si>
    <t>Amber Ales
Blonde Ales
Bocks
Golden Ales
Pilsners
Saisons</t>
  </si>
  <si>
    <t>Spicy
Citrusy
Floral
Fruity 
Herbal</t>
  </si>
  <si>
    <t>Crystal
Hersbrucker
Mt. Hood</t>
  </si>
  <si>
    <t>English Ales
Vienna Lagers
Oktoberfest Lagers
Belgian Ales
Pilsners</t>
  </si>
  <si>
    <t>Spicy
Earthy
Sweet</t>
  </si>
  <si>
    <t>American Ales
Belgian Ales
IPAs
Wheat</t>
  </si>
  <si>
    <t>Apricot 
Melon
Grassy
Peach
Passion Fruit
Citrus</t>
  </si>
  <si>
    <t>Palisade
Saaz</t>
  </si>
  <si>
    <t>IPAs
Pale Ales
Imperial IPAs
Barley Wines
Stouts</t>
  </si>
  <si>
    <t>Pepper
Incense
anise
Orange
Pink Grapefruit 
Tangerine</t>
  </si>
  <si>
    <t>Columbus
Warrior
Millennium
Simcoe
Amarillo
Cascade</t>
  </si>
  <si>
    <t>Barley Wine
Imperial Stout</t>
  </si>
  <si>
    <t>Herbal</t>
  </si>
  <si>
    <t>Magnum
Galena
Zeus</t>
  </si>
  <si>
    <t>American Ales
Stouts
Lagers
All Beers</t>
  </si>
  <si>
    <t>Fruity
Pear
Pineyapple
Blackcurrant
Grapefruit
Lime
Gooseberry 
Spicy Woody</t>
  </si>
  <si>
    <t>Galena
Nugget
Cluster
Chinook</t>
  </si>
  <si>
    <t>Bocks
IPAs
Lagers
Pale Ales
Imperial Pale Ales</t>
  </si>
  <si>
    <t>Mild
Pleasant
Resin 
Fruity</t>
  </si>
  <si>
    <t>English Ales
Pale Ales
Belgian Ales</t>
  </si>
  <si>
    <t>Earthy
Grassy
Mint
Citrus 
Vanilla</t>
  </si>
  <si>
    <t>Progress
Whitbread Golding
Fuggle</t>
  </si>
  <si>
    <t>Pilsner
Lager
California Common
Pale Ales</t>
  </si>
  <si>
    <t>Woody</t>
  </si>
  <si>
    <t>Hallertau Mittelfruh
Helga
Saaz </t>
  </si>
  <si>
    <t>British Ales
English Lagers</t>
  </si>
  <si>
    <t>Green Sage
Spicy 
Peppery
Citrus
Marmalade</t>
  </si>
  <si>
    <t>German Ales
Schwarzbier
Oktoberfest</t>
  </si>
  <si>
    <t>Earthy
Chocolate 
Banana</t>
  </si>
  <si>
    <t>Magnum
Citra
Tradition (GR)</t>
  </si>
  <si>
    <t>US Ales
Wheats
Lagers
Pilsners</t>
  </si>
  <si>
    <t>Fuggle
Santiam
Spalt Select (GR)
Spalt (GR)</t>
  </si>
  <si>
    <t>Lagers
Pilsner
Bock
Wheat
Weizen</t>
  </si>
  <si>
    <t>Intense
Floral
Herbal 
Grassy
Fruity</t>
  </si>
  <si>
    <t>Magnum
Hersbrucker
Taurus</t>
  </si>
  <si>
    <t>Pilsner
German Lagers</t>
  </si>
  <si>
    <t>Mild
Spicy 
Bouquet</t>
  </si>
  <si>
    <t>Hallertau
Any Noble hop
Crystal
Liberty
Mt. Hood</t>
  </si>
  <si>
    <t>Lagers
Pilsners
Bocks
Kolsch
Wheats
Munich Helles
Belgian Ales</t>
  </si>
  <si>
    <t>Woody
Cedar</t>
  </si>
  <si>
    <t>Hallertau
Hersbrucker (GR)
Mt. Hood
Liberty</t>
  </si>
  <si>
    <t>Pale Ales
IPAs
Lagers</t>
  </si>
  <si>
    <t>Piney 
Citrus
Tangelo</t>
  </si>
  <si>
    <t>Belgian Ales
Lagers
Pale Ales</t>
  </si>
  <si>
    <t>Floral
Lime</t>
  </si>
  <si>
    <t>Hallertauer Mittelfrüh
Nelson Sauvin</t>
  </si>
  <si>
    <t>Pale Ales
IPAs
Stouts
Barley Wines</t>
  </si>
  <si>
    <t>Mild
Resin
Piney</t>
  </si>
  <si>
    <t>Columbus
Nugget
Magnum
Summit</t>
  </si>
  <si>
    <t>All English Ales
US Pale Ales
US Brown Ales
American Lagers
Porters</t>
  </si>
  <si>
    <t>Floral
Incense
Elderberry</t>
  </si>
  <si>
    <t>Glacier
Fuggle (US)
Tettnang (US)
Styrian Golding
Kent Golding</t>
  </si>
  <si>
    <t>Citrus</t>
  </si>
  <si>
    <t>Pale Ales
Stouts
Lagers</t>
  </si>
  <si>
    <t>Bouquet
Citrus</t>
  </si>
  <si>
    <t>Yeoman
Northern Brewer</t>
  </si>
  <si>
    <t>Pungent
Black Pepper
Licorice
Curry</t>
  </si>
  <si>
    <t>IPAs
Pale Ales</t>
  </si>
  <si>
    <t>Tangerine
Citrus
Floral
Piney 
Grapefruit</t>
  </si>
  <si>
    <t>Variétés</t>
  </si>
  <si>
    <t>Utilisation</t>
  </si>
  <si>
    <t>Brewers Gold  
Northern Brewer
Galena
Bramling Cross
Mt. Ranier</t>
  </si>
  <si>
    <t>Czech Saaz
Citra
Calypso
Centennial
Citra</t>
  </si>
  <si>
    <t>Aromes</t>
  </si>
  <si>
    <t>Substituts</t>
  </si>
  <si>
    <t>Acide Aplha</t>
  </si>
  <si>
    <t>Stock</t>
  </si>
  <si>
    <t>Caractéristiques des sucres</t>
  </si>
  <si>
    <t>Caractéristiques des Houblons</t>
  </si>
  <si>
    <t>Taux d'utilisation houblon</t>
  </si>
  <si>
    <t>DH</t>
  </si>
  <si>
    <t>Mash-Hop</t>
  </si>
  <si>
    <t>Flame-out</t>
  </si>
  <si>
    <t>Style</t>
  </si>
  <si>
    <t>Brassin</t>
  </si>
  <si>
    <t>Volume</t>
  </si>
  <si>
    <t>DI</t>
  </si>
  <si>
    <t>Date</t>
  </si>
  <si>
    <t>DF</t>
  </si>
  <si>
    <t>Rendement d'empatage</t>
  </si>
  <si>
    <t>Couleur</t>
  </si>
  <si>
    <t>Palier 1</t>
  </si>
  <si>
    <t>Amertume</t>
  </si>
  <si>
    <t>Palier 2</t>
  </si>
  <si>
    <t>ABV</t>
  </si>
  <si>
    <t>Palier 3</t>
  </si>
  <si>
    <t>vol CO2</t>
  </si>
  <si>
    <t>Empatage</t>
  </si>
  <si>
    <t>Eau d'empatage</t>
  </si>
  <si>
    <t>Mash-Out</t>
  </si>
  <si>
    <t>IBU/DI</t>
  </si>
  <si>
    <t>Volume de la maische à l'empatage</t>
  </si>
  <si>
    <t>Total hors MO</t>
  </si>
  <si>
    <t>RBR : IBU/RE</t>
  </si>
  <si>
    <t>Profil</t>
  </si>
  <si>
    <t/>
  </si>
  <si>
    <t>Eau</t>
  </si>
  <si>
    <t>ratio SO4/Cl</t>
  </si>
  <si>
    <t>Rinçage</t>
  </si>
  <si>
    <t>Eau de rinçage</t>
  </si>
  <si>
    <t>Pré-ébulition</t>
  </si>
  <si>
    <t>Théorique</t>
  </si>
  <si>
    <t>Réel</t>
  </si>
  <si>
    <t>Densité</t>
  </si>
  <si>
    <t>Rmax théo</t>
  </si>
  <si>
    <t>Poids</t>
  </si>
  <si>
    <t>Grains</t>
  </si>
  <si>
    <t>Evaporation</t>
  </si>
  <si>
    <t>Vérif' : Différence quantité de sucre pré et post-ébu</t>
  </si>
  <si>
    <t>Sucres</t>
  </si>
  <si>
    <t>En fermenteur</t>
  </si>
  <si>
    <t>Total</t>
  </si>
  <si>
    <t>grains</t>
  </si>
  <si>
    <t>général</t>
  </si>
  <si>
    <t>Efficacité du brassage</t>
  </si>
  <si>
    <t>Autre</t>
  </si>
  <si>
    <t>Quantité</t>
  </si>
  <si>
    <t>Fermentation</t>
  </si>
  <si>
    <t>T°C</t>
  </si>
  <si>
    <t>Durée</t>
  </si>
  <si>
    <t>Fin réelle</t>
  </si>
  <si>
    <t>Houblons</t>
  </si>
  <si>
    <t>Acide Alpha</t>
  </si>
  <si>
    <t>IBUs</t>
  </si>
  <si>
    <t>Suivi de la fermentation</t>
  </si>
  <si>
    <t>Atténuation</t>
  </si>
  <si>
    <t>Progression</t>
  </si>
  <si>
    <t>Embouteillage</t>
  </si>
  <si>
    <t>TOTAL</t>
  </si>
  <si>
    <t>Levure</t>
  </si>
  <si>
    <t>Att. App max</t>
  </si>
  <si>
    <t>% alcool</t>
  </si>
  <si>
    <t xml:space="preserve">Carbonatation </t>
  </si>
  <si>
    <t>Taux de resucrage</t>
  </si>
  <si>
    <t>Resucrage total</t>
  </si>
  <si>
    <t>NEIPA</t>
  </si>
  <si>
    <t>FAUVE</t>
  </si>
  <si>
    <t>Note de dégustation</t>
  </si>
  <si>
    <t>%</t>
  </si>
  <si>
    <t>J0</t>
  </si>
  <si>
    <t>J+3</t>
  </si>
  <si>
    <t>J+12</t>
  </si>
  <si>
    <t>J+16</t>
  </si>
  <si>
    <t>DH1</t>
  </si>
  <si>
    <t>DH2</t>
  </si>
  <si>
    <t>Cold crash</t>
  </si>
  <si>
    <t>Action</t>
  </si>
  <si>
    <t>Ajustement de la densité</t>
  </si>
  <si>
    <t>Densité actuelle</t>
  </si>
  <si>
    <t>Volume actuel</t>
  </si>
  <si>
    <t>Densité visée</t>
  </si>
  <si>
    <t>Type d'ajout</t>
  </si>
  <si>
    <t>Sucre</t>
  </si>
  <si>
    <t>Quantité à ajouter</t>
  </si>
  <si>
    <t>AJUSTEMENT</t>
  </si>
  <si>
    <t>Calculateur/Convertisseur</t>
  </si>
  <si>
    <t>Mout Fermenté</t>
  </si>
  <si>
    <t>Facteur de correction</t>
  </si>
  <si>
    <t>DI/BRIX</t>
  </si>
  <si>
    <t>BRIX</t>
  </si>
  <si>
    <t>DI/DF</t>
  </si>
  <si>
    <t>Trouvé DI</t>
  </si>
  <si>
    <t>Volume post-ébu</t>
  </si>
  <si>
    <t>Densité post-ébu</t>
  </si>
  <si>
    <t>DI °Brix</t>
  </si>
  <si>
    <t>IBU</t>
  </si>
  <si>
    <t>DF Brix</t>
  </si>
  <si>
    <t>DF Fct cubique</t>
  </si>
  <si>
    <t>DF Fct linéaire</t>
  </si>
  <si>
    <t>DF Fct univ-bière</t>
  </si>
  <si>
    <t>Atténuation Apparente</t>
  </si>
  <si>
    <t>Atténuation réelle</t>
  </si>
  <si>
    <t>Sucre Résiduel</t>
  </si>
  <si>
    <t>Taux d'alcool</t>
  </si>
  <si>
    <t>Pied de cuve</t>
  </si>
  <si>
    <t>modèle :</t>
  </si>
  <si>
    <t xml:space="preserve">Braukaiser (agitateur) </t>
  </si>
  <si>
    <t>Température</t>
  </si>
  <si>
    <t>Nombre de levures initial</t>
  </si>
  <si>
    <t>Extrait</t>
  </si>
  <si>
    <t>Nombre de levures final</t>
  </si>
  <si>
    <t>Sucre présent</t>
  </si>
  <si>
    <t>Moût</t>
  </si>
  <si>
    <t>Malt</t>
  </si>
  <si>
    <t>pH des malts</t>
  </si>
  <si>
    <t>Crystal/Cara Malt</t>
  </si>
  <si>
    <t>Remarque/problème:</t>
  </si>
  <si>
    <t>Recette "Mot pour Rire" de Fauve, New England Pale Ale DDH</t>
  </si>
  <si>
    <t>Whirpool</t>
  </si>
  <si>
    <t>Ajout/Hop stand</t>
  </si>
  <si>
    <t>Refroidisement</t>
  </si>
  <si>
    <t>75cl</t>
  </si>
  <si>
    <t>33cl</t>
  </si>
  <si>
    <t>Vol sirop</t>
  </si>
  <si>
    <t>Quantité de sirop par bouteille à ajouter</t>
  </si>
  <si>
    <t>Fin</t>
  </si>
  <si>
    <t>Milieu d'Ébullition</t>
  </si>
  <si>
    <t>Ajout de houblon pendant la fermentation ou après la fermentation.</t>
  </si>
  <si>
    <t xml:space="preserve"> Ajoute des arômes et des saveurs sans ajouter d'amertume, car il n'y a pas d'ébullition.</t>
  </si>
  <si>
    <t xml:space="preserve"> Permet une extraction maximale des arômes et des saveurs sans ajouter trop d'amertume. Le houblon est en contact avec le moût chaud pendant une période prolongée, ce qui améliore l'extraction des huiles essentielles.</t>
  </si>
  <si>
    <t>Principalement utilisé pour les arômes et les saveurs, avec moins d'amertume.</t>
  </si>
  <si>
    <t>Contribue à l'amertume et aux arômes, avec un équilibre entre les deux.</t>
  </si>
  <si>
    <t>Principalement utilisé pour l'amertume, car les alpha-acides sont isomérisés pendant l'ébullition.</t>
  </si>
  <si>
    <t>First Wort Hopping (FWH)</t>
  </si>
  <si>
    <t>Début d'Ebullition</t>
  </si>
  <si>
    <t>Deuxième ajout de houblon pendant la fermentation.</t>
  </si>
  <si>
    <t>Améliore l'extraction des arômes et des saveurs, souvent utilisé pour les bières très houblonnées.</t>
  </si>
  <si>
    <t>11g</t>
  </si>
  <si>
    <t>Post-ébulition (1h)</t>
  </si>
  <si>
    <t>Visé</t>
  </si>
  <si>
    <t>Correction densité/température</t>
  </si>
  <si>
    <t>Densité réelle</t>
  </si>
  <si>
    <t>Densité lue</t>
  </si>
  <si>
    <t>Ajout de houblon pendant l'empattage (mash).</t>
  </si>
  <si>
    <t>Arome</t>
  </si>
  <si>
    <t>Taux de PH</t>
  </si>
  <si>
    <t>Neipa, IPA, Amercan Pale Ale, Sweet Stout, Sour</t>
  </si>
  <si>
    <t>Abricot pomme rouge, agrumes et fruits tropicaux</t>
  </si>
  <si>
    <t>3,2 - 3,5</t>
  </si>
  <si>
    <t>Tolerance alcool</t>
  </si>
  <si>
    <t>propogation</t>
  </si>
  <si>
    <t>50-100g/hL</t>
  </si>
  <si>
    <t>Celulles viables</t>
  </si>
  <si>
    <t>2,5-5 millions/mL</t>
  </si>
  <si>
    <t xml:space="preserve">Quantité </t>
  </si>
  <si>
    <t>4j</t>
  </si>
  <si>
    <t>4J</t>
  </si>
  <si>
    <t>12j</t>
  </si>
  <si>
    <t>Autres/épices</t>
  </si>
  <si>
    <t>Irish Moss</t>
  </si>
  <si>
    <t>Coriandre (graines)</t>
  </si>
  <si>
    <t>Notes citronnées, légèrement poivrées et fraîches.</t>
  </si>
  <si>
    <t>En fin d'ébullition ou en dry hopping.</t>
  </si>
  <si>
    <t>Canelle</t>
  </si>
  <si>
    <t>Chaude, épicée, légèrement sucrée.</t>
  </si>
  <si>
    <t>Bières de Noël, bières d'hiver, ou bières inspirées des saveurs chaudes.</t>
  </si>
  <si>
    <t>En fin d'ébullition ou en fermentation.</t>
  </si>
  <si>
    <t>Gingembre</t>
  </si>
  <si>
    <t>Piquant, épicé, avec une légère chaleur.</t>
  </si>
  <si>
    <t>Bières légères, bières d'été, ou bières inspirées des saveurs asiatiques.</t>
  </si>
  <si>
    <t>Clou de girofle</t>
  </si>
  <si>
    <t>Épicé, chaud, légèrement boisé.</t>
  </si>
  <si>
    <t>Bières de Noël, bières d'hiver.</t>
  </si>
  <si>
    <t>Poivre (Noir, Rose, Sichuan, etc.)</t>
  </si>
  <si>
    <t>Piquant, épicé, avec des notes variées selon le type de poivre.</t>
  </si>
  <si>
    <t>Bières épicées, bières légères, ou bières expérimentales.</t>
  </si>
  <si>
    <t>En fin d'ébullition ou en fermentation</t>
  </si>
  <si>
    <t>Cardamome</t>
  </si>
  <si>
    <t>Florale, légèrement citronnée, avec une touche épicée.</t>
  </si>
  <si>
    <t>Bières légères, bières d'été, ou bières inspirées des saveurs indiennes.</t>
  </si>
  <si>
    <t>Zestes d'Agrumes (Orange, Citron, Pamplemousse)</t>
  </si>
  <si>
    <t>Citronné, frais, avec des notes d'agrumes.</t>
  </si>
  <si>
    <t>Bières légères, bières d'été, IPA.</t>
  </si>
  <si>
    <t xml:space="preserve"> En fin d'ébullition ou en fermentation.</t>
  </si>
  <si>
    <t>Fruits Rouges (Fraise, Framboise, Cerise)</t>
  </si>
  <si>
    <t>Sucré, fruité, avec des notes acidulées.</t>
  </si>
  <si>
    <t xml:space="preserve"> Bières fruitées, bières d'été, bières acides (sour beers).</t>
  </si>
  <si>
    <t>En fermentation ou en maturation.</t>
  </si>
  <si>
    <t>Fruits Tropicaux (Mangue, Ananas, Fruit de la Passion)</t>
  </si>
  <si>
    <t>Sucré, exotique, avec des notes fruitées intenses.</t>
  </si>
  <si>
    <t>Bières fruitées, bières d'été, IPA.</t>
  </si>
  <si>
    <t>Pomme, Poire</t>
  </si>
  <si>
    <t>Bières fruitées.</t>
  </si>
  <si>
    <t>Miel</t>
  </si>
  <si>
    <t>Sucré, floral, avec des notes de caramel.</t>
  </si>
  <si>
    <t>Bières au miel, bières d'hiver.</t>
  </si>
  <si>
    <t>Amer, torréfié, avec des notes de chocolat.</t>
  </si>
  <si>
    <t>Stouts, Porters, bières noires.</t>
  </si>
  <si>
    <t>Cacao</t>
  </si>
  <si>
    <t>Chocolaté, amer, avec des notes de noisette.</t>
  </si>
  <si>
    <t>Clarifiant</t>
  </si>
  <si>
    <t>15 à 20 derniere minutes d'énulition</t>
  </si>
  <si>
    <t>1 à 2g / L de mout</t>
  </si>
  <si>
    <t>Hop[i] New Year</t>
  </si>
  <si>
    <t>04//05/2025</t>
  </si>
  <si>
    <t>Recette "Tout le reste n'est rien" de Fauve, East Coast IPA DDH</t>
  </si>
  <si>
    <t>Mosaic cryo</t>
  </si>
  <si>
    <t>17j</t>
  </si>
  <si>
    <t>J+15</t>
  </si>
  <si>
    <t>Ensemencement</t>
  </si>
  <si>
    <t>2,4 vol CO2</t>
  </si>
  <si>
    <t>2,5 vol CO2</t>
  </si>
  <si>
    <t>Wedding Brew</t>
  </si>
  <si>
    <t>Recette "compagnon de voyage" de Fauve, Session IPA</t>
  </si>
  <si>
    <t>petite IPA au profil New England. Une jolie dose d’avoine et la levure peu floculante lui apportent une texture toute douce et une jolie robe pâle, couleur paille, plutôt opaque. L’utilisation généreuse de houblons aromatiques lui confère une intensité particulièrement plaisante pour une bière aussi faible en alcool. Bref, une bière bien “hazy &amp; juicy”, comme on aime les faire chez Fauve, mais en version ultra pintable.
En bouche, c'est moelleux, rond, tout doux, peu amer, et avec un finish un poil sucré.
Côté houblons, on a choisi le top : le Citra pour la fraîcheur des agrumes, le Mosaic pour la gourmandise des fruits exotiques bien mûrs et le côté dank du Simcoe pour apporter une jolie complexité</t>
  </si>
  <si>
    <t>Avoine (malt)</t>
  </si>
  <si>
    <t>J+8</t>
  </si>
  <si>
    <t>J+11</t>
  </si>
  <si>
    <t>MAY THE FAUVE BE WITH YOU</t>
  </si>
  <si>
    <t xml:space="preserve">J'ai du mettre plus 14L de rincage </t>
  </si>
  <si>
    <t>Belgian Ales and strong English ales (imperial Stouts). New England IPA's.</t>
  </si>
  <si>
    <t>Ales, Pale Ale &amp; IPA</t>
  </si>
  <si>
    <t>SafAle T-58</t>
  </si>
  <si>
    <t>SafAle US-05</t>
  </si>
  <si>
    <t>Intense fruity and phenolic flavors - especially banana, clove and peppery notes.</t>
  </si>
  <si>
    <t>wheat-base beers and fruity-spicy oriented styles</t>
  </si>
  <si>
    <t>LalBrew Verdant IPA</t>
  </si>
  <si>
    <t>SafAle S-33</t>
  </si>
  <si>
    <t>Fruity driven strain, gives a high mouthfeel and body to the beer</t>
  </si>
  <si>
    <t>Grapefruit
Orange
Lemon
Melon, Abrico,Peach</t>
  </si>
  <si>
    <t>GRAINS</t>
  </si>
  <si>
    <t>SUCRES</t>
  </si>
  <si>
    <t>DME (Dried Malt Extract)</t>
  </si>
  <si>
    <t>LME (Liquid Malt Extract)</t>
  </si>
  <si>
    <t>Fruity
Lemon, Lime, lemongrass
Peach, Melon
Coconut, Candy
Herbal</t>
  </si>
  <si>
    <t>HOUBLONS (Pellets)</t>
  </si>
  <si>
    <t>Lactose (sucre de lait)</t>
  </si>
  <si>
    <t>Lotus</t>
  </si>
  <si>
    <t>IPA, NEIPA, et bières fruitées.</t>
  </si>
  <si>
    <t>Mosaic, Galaxy, Amarillo, Simcoe, et El Dorado</t>
  </si>
  <si>
    <t>Grapefruit
Melon
Lime
Gooseberry
Passion Fruit, Lychee</t>
  </si>
  <si>
    <t>Douceur naturelle et onctuosité. Non fermentescible, donc il reste dans la bière finale. Améliore la stabilité et la tenue de la mousse. Permet de créer des styles de bière uniques, comme les Milk Stouts</t>
  </si>
  <si>
    <t>Forme</t>
  </si>
  <si>
    <t>Pellet</t>
  </si>
  <si>
    <t>Candi blanc</t>
  </si>
  <si>
    <t>Candi ambré</t>
  </si>
  <si>
    <t>bières belge</t>
  </si>
  <si>
    <t>Technique</t>
  </si>
  <si>
    <t>extraction</t>
  </si>
  <si>
    <t>apport</t>
  </si>
  <si>
    <t>Phantasm Powder (thiol)</t>
  </si>
  <si>
    <t>Poudre fabriquée à partir de peaux de raisin Sauvignon Blanc de Marlborough, en Nouvelle-Zélande est incroyablement riche en précurseurs de Thiol, notes de raisin Sauvignon Blanc, d'agrumes, de goyave et de fruit de la passion</t>
  </si>
  <si>
    <t>IPA, NEIPA, Saison, Sour, Wheatbeer, experimental</t>
  </si>
  <si>
    <t>3-7gr par litre, généralement ajouté pendant le whirlpool ou la fermentation active.</t>
  </si>
  <si>
    <t>Fruits tels que l'Omija-Cha (baie coréenne à cinq arômes) et le fruit du Yuzu. notes de pêche et de fruit de la passion. Composition unique en huile B-Sélinène, avec jusqu'à 62% de son huile totale qui n'est pas classée ou pas commune dans la chimie du houblon</t>
  </si>
  <si>
    <t xml:space="preserve"> Pale Ale, IPA, NEIPA</t>
  </si>
  <si>
    <t>Fruits tropicaux, pamplemousse, citron, notes herbacées. orange, vanille, baies, fruits tropicaux</t>
  </si>
  <si>
    <t>Il est unique !</t>
  </si>
  <si>
    <t>Une bière au profil New England, légère, hautement pintable et avec une utilisation généreuse de houblons aromatiques. Sans oublier une jolie dose d’avoine, une levure peu floculante et un double houblonnage à cru (DDH, double dry-hop in English) pour une bière bien “hazy &amp; juicy”.
Côté houblons, on a choisi le top : le Citra pour la fraîcheur des agrumes, le Mosaic pour la gourmandise des fruits exotiques bien mûrs et le côté dank du Simcoe pour apporter une jolie complexité</t>
  </si>
  <si>
    <t>Une robe jaune légèrement orangée, bien opaque, une mousse blanche et dense. Au nez, c'est une explosion des fruits exotiques bien mûrs et d’agrumes, relevée par des notes florales. En bouche, c'est moelleux, rond, tout doux, peu amer, et avec un finish un poil sucré.</t>
  </si>
  <si>
    <t>Gros probleme de bouchage dans la canne d'ebouteillage, J'ai rempli au robinet avec gros risque d'oxydation</t>
  </si>
  <si>
    <t xml:space="preserve">Rempli quasi au rabord de la bouteille pour minimiser l'oxydation </t>
  </si>
  <si>
    <t xml:space="preserve">Rempli quasi au rabord des bouteilles pour minimiser l'oxydation </t>
  </si>
  <si>
    <t>3j</t>
  </si>
  <si>
    <t>WLP077 Tropicale Yeast Blend</t>
  </si>
  <si>
    <t>Alora [HS17701]</t>
  </si>
  <si>
    <t>American IPA
Double IPA
Hazy/Juicy IPA</t>
  </si>
  <si>
    <t>Basse</t>
  </si>
  <si>
    <t>"juicy" avec des notes de fruit de la passion et de vanille, et une amertume moins persistante.</t>
  </si>
  <si>
    <t xml:space="preserve">viser 200ppm de Chlorure </t>
  </si>
  <si>
    <t>et un pH d'eau pour l'empatage entre 5,2 et 5,6</t>
  </si>
  <si>
    <t>pH cible</t>
  </si>
  <si>
    <t xml:space="preserve">https://www.moneaudebrassage.fr/ </t>
  </si>
  <si>
    <t>Cl</t>
  </si>
  <si>
    <t>Chlorure</t>
  </si>
  <si>
    <t>SO4</t>
  </si>
  <si>
    <t>Sulfates</t>
  </si>
  <si>
    <t>Ca</t>
  </si>
  <si>
    <t>Calcium</t>
  </si>
  <si>
    <t>Mg</t>
  </si>
  <si>
    <t>Magnesium</t>
  </si>
  <si>
    <t>Na</t>
  </si>
  <si>
    <t>Sodium</t>
  </si>
  <si>
    <t>HCO3</t>
  </si>
  <si>
    <t>Carbonates</t>
  </si>
  <si>
    <t>EAU</t>
  </si>
  <si>
    <t>Type de biere</t>
  </si>
  <si>
    <t>Eau de Lille</t>
  </si>
  <si>
    <t>Profils des eaux</t>
  </si>
  <si>
    <t>min</t>
  </si>
  <si>
    <t>max</t>
  </si>
  <si>
    <t>Standard</t>
  </si>
  <si>
    <t>influence directement le goût et la perception de la bière</t>
  </si>
  <si>
    <t>Alcanité Totale</t>
  </si>
  <si>
    <t>Alcanité Résiduelle</t>
  </si>
  <si>
    <t>alcanité total</t>
  </si>
  <si>
    <t>taux faible entre 0 et 40 ppm de CaCO3 (soit entre 0 et 4°f)</t>
  </si>
  <si>
    <t>taux modéré entre 40 et 120 ppm de CaCO3 (soit entre 4 et 12°f)</t>
  </si>
  <si>
    <t>taux élevé entre 120 et 200 ppm de CaCO3 (soit entre 12 et 20°f).</t>
  </si>
  <si>
    <t>0-50</t>
  </si>
  <si>
    <t>50-100</t>
  </si>
  <si>
    <t>100-200</t>
  </si>
  <si>
    <t>200-300</t>
  </si>
  <si>
    <t>300+</t>
  </si>
  <si>
    <t>Très douce</t>
  </si>
  <si>
    <t>Douce</t>
  </si>
  <si>
    <t>Durété</t>
  </si>
  <si>
    <t>Modéré</t>
  </si>
  <si>
    <t>Dure</t>
  </si>
  <si>
    <t>Très dure</t>
  </si>
  <si>
    <t xml:space="preserve">https://www.littlebock.fr/outil-brassage/calculateur-eau-brassage </t>
  </si>
  <si>
    <t>Malt Best Chit</t>
  </si>
  <si>
    <t>Malt Best A-XL</t>
  </si>
  <si>
    <t>pH visé</t>
  </si>
  <si>
    <t>Ajustement du pH</t>
  </si>
  <si>
    <t>pH actuel</t>
  </si>
  <si>
    <t>concentration acide lactique</t>
  </si>
  <si>
    <t>volume</t>
  </si>
  <si>
    <t>pH théorique</t>
  </si>
  <si>
    <t>Style de la biere</t>
  </si>
  <si>
    <t>moy</t>
  </si>
  <si>
    <t>1A. Lager Américaine Légère</t>
  </si>
  <si>
    <t>1B. Lager Américaine</t>
  </si>
  <si>
    <t>1C. Cream Ale</t>
  </si>
  <si>
    <t>1D. Bière de Blé Américaine</t>
  </si>
  <si>
    <t>Bière Américaine Standard</t>
  </si>
  <si>
    <t>Lager Internationale</t>
  </si>
  <si>
    <t>2A. Lager Blonde Internationale</t>
  </si>
  <si>
    <t>2B. Lager Ambrée Internationale</t>
  </si>
  <si>
    <t>2C. Lager Brune Internationale</t>
  </si>
  <si>
    <t>Lager Tchèque</t>
  </si>
  <si>
    <t>3A. Lager Tchèque Blonde</t>
  </si>
  <si>
    <t>3B. Lager Tchèque Blonde Premium</t>
  </si>
  <si>
    <t>3C. Lager Tchèque Ambrée</t>
  </si>
  <si>
    <t>3D. Lager Tchèque Brune</t>
  </si>
  <si>
    <t>Lager Blonde Européenne</t>
  </si>
  <si>
    <t>4A. Munich Helles</t>
  </si>
  <si>
    <t>4B. Festbier</t>
  </si>
  <si>
    <t>4C. Helles Bock/Maibock</t>
  </si>
  <si>
    <t>Bière Blonde Amère Européenne</t>
  </si>
  <si>
    <t>5A. German Leichtbier</t>
  </si>
  <si>
    <t>5B. Kölsch</t>
  </si>
  <si>
    <t>5C. German Helles Exportbier</t>
  </si>
  <si>
    <t>5D. Pils Allemande</t>
  </si>
  <si>
    <t>Lager Ambrée Européenne</t>
  </si>
  <si>
    <t>6A. Märzen</t>
  </si>
  <si>
    <t>6B. Rauchbier</t>
  </si>
  <si>
    <t>6C. Dunkel Bock</t>
  </si>
  <si>
    <t>Bière Ambrée Amère Européenne</t>
  </si>
  <si>
    <t>7A. Lager Viennoise</t>
  </si>
  <si>
    <t>7B. Altbier</t>
  </si>
  <si>
    <t>Lager Brune Européenne</t>
  </si>
  <si>
    <t>8A. Munich Dunkel</t>
  </si>
  <si>
    <t>8B. Schwarzbier</t>
  </si>
  <si>
    <t>Bière Forte Européenne</t>
  </si>
  <si>
    <t>9A. Doppelbock</t>
  </si>
  <si>
    <t>9B. Eisbock</t>
  </si>
  <si>
    <t>9C. Baltic Porter</t>
  </si>
  <si>
    <t>Bière de Blé Allemande</t>
  </si>
  <si>
    <t>10A. Weissbier</t>
  </si>
  <si>
    <t>10B. Dunkles Weissbier</t>
  </si>
  <si>
    <t>10C. Weizenbock</t>
  </si>
  <si>
    <t>Bitter Anglaise</t>
  </si>
  <si>
    <t>11A. Ordinary Bitter</t>
  </si>
  <si>
    <t>11B. Best Bitter</t>
  </si>
  <si>
    <t>11C. Strong Bitter</t>
  </si>
  <si>
    <t>Bière Blonde du Commonwealth</t>
  </si>
  <si>
    <t>12A. Golden Ale anglaise</t>
  </si>
  <si>
    <t>12B. Sparkling Ale australienne</t>
  </si>
  <si>
    <t>12C. IPA anglaise</t>
  </si>
  <si>
    <t>Bière Brune Anglaise</t>
  </si>
  <si>
    <t>13A. Dark Mild</t>
  </si>
  <si>
    <t>13B. Ale Brune Anglaise</t>
  </si>
  <si>
    <t>13C. Porter Anglais</t>
  </si>
  <si>
    <t>Bière Écossaise</t>
  </si>
  <si>
    <t>14A. Scottish Light</t>
  </si>
  <si>
    <t>14B. Scottish Heavy</t>
  </si>
  <si>
    <t>14C. Scottish Export</t>
  </si>
  <si>
    <t>Bière Irlandaise</t>
  </si>
  <si>
    <t>15A. Irish Red Ale</t>
  </si>
  <si>
    <t>15B. Stout Irlandais</t>
  </si>
  <si>
    <t>15C. Extra Stout Irlandais</t>
  </si>
  <si>
    <t>Bière Noire Britannique</t>
  </si>
  <si>
    <t>16A. Sweet Stout</t>
  </si>
  <si>
    <t>16B. Oatmeal Stout</t>
  </si>
  <si>
    <t>16C. Tropical Stout</t>
  </si>
  <si>
    <t>16D. Foreign Extra Stout</t>
  </si>
  <si>
    <t>Bière Forte Anglaise</t>
  </si>
  <si>
    <t>17A. Ale Forte Anglaise</t>
  </si>
  <si>
    <t>17B. Old Ale</t>
  </si>
  <si>
    <t>17C. Wee Heavy</t>
  </si>
  <si>
    <t>17D. Barley Wine Anglais</t>
  </si>
  <si>
    <t>Bière Blonde Américaine</t>
  </si>
  <si>
    <t>18A. Ale Blonde</t>
  </si>
  <si>
    <t>18B. American Pale Ale</t>
  </si>
  <si>
    <t>Bière Brune ou Ambrée Américaine</t>
  </si>
  <si>
    <t>19A. Bière Ambrée Américaine</t>
  </si>
  <si>
    <t>19B. California Common</t>
  </si>
  <si>
    <t>19C. Bière Brune Américaine</t>
  </si>
  <si>
    <t>Porter et Stout américains</t>
  </si>
  <si>
    <t>20A. Porter Américain</t>
  </si>
  <si>
    <t>20B. Stout Américain</t>
  </si>
  <si>
    <t>20C. Imperial Stout / Russian Imperial Stout</t>
  </si>
  <si>
    <t>IPA - India Pale Ale</t>
  </si>
  <si>
    <t>21A. IPA Américaine</t>
  </si>
  <si>
    <t>21B. IPA Spéciales</t>
  </si>
  <si>
    <t>21B1. IPA Belge</t>
  </si>
  <si>
    <t>21B2. IPA Noire</t>
  </si>
  <si>
    <t>21B3. IPA Brune</t>
  </si>
  <si>
    <t>21B4. IPA Rousse</t>
  </si>
  <si>
    <t>21B5. IPA au Seigle</t>
  </si>
  <si>
    <t>21B6. IPA Blanche</t>
  </si>
  <si>
    <t>21B7. IPA Brut</t>
  </si>
  <si>
    <t>21C. Hazy IPA</t>
  </si>
  <si>
    <t>Bière Américaine Forte</t>
  </si>
  <si>
    <t>22A. Double IPA / Imperial IPA</t>
  </si>
  <si>
    <t>22B. American Strong Ale</t>
  </si>
  <si>
    <t>22C. Barleywine Américain</t>
  </si>
  <si>
    <t>22D. Wheatwine</t>
  </si>
  <si>
    <t>Bière Acide Européenne</t>
  </si>
  <si>
    <t>23A. Berliner Weisse</t>
  </si>
  <si>
    <t>23B. Rouge des Flandres</t>
  </si>
  <si>
    <t>23C. Brune des Flandres - Vieille Brune - Oud Bruin</t>
  </si>
  <si>
    <t>23D. Lambic</t>
  </si>
  <si>
    <t>23E. Gueuze</t>
  </si>
  <si>
    <t>23F. Lambic aux fruits</t>
  </si>
  <si>
    <t>23G. Gose</t>
  </si>
  <si>
    <t>Bière Belge</t>
  </si>
  <si>
    <t>24A. Witbier - Blanche Belge</t>
  </si>
  <si>
    <t>24B. Belge Blonde Legère - Belgian Pale Ale</t>
  </si>
  <si>
    <t>24C. Bière de Garde</t>
  </si>
  <si>
    <t>Bière Belge Forte</t>
  </si>
  <si>
    <t>25A. Belge Blonde</t>
  </si>
  <si>
    <t>25B. Saison</t>
  </si>
  <si>
    <t>25C. Belge Blonde Forte</t>
  </si>
  <si>
    <t>Bière Monastique</t>
  </si>
  <si>
    <t>26A. Belge Simple</t>
  </si>
  <si>
    <t>26B. Belge Double</t>
  </si>
  <si>
    <t>26C. Belge Triple</t>
  </si>
  <si>
    <t>26D. Brune Forte Belge</t>
  </si>
  <si>
    <t>Bière Historique</t>
  </si>
  <si>
    <t>BH1. Kellerbier</t>
  </si>
  <si>
    <t>BH2. Kentucky Common</t>
  </si>
  <si>
    <t>BH3. Lichtenhainer</t>
  </si>
  <si>
    <t>BH4. London Brown Ale</t>
  </si>
  <si>
    <t>BH5. Piwo Grodziskie</t>
  </si>
  <si>
    <t>BH6. Pre-Prohibition Lager</t>
  </si>
  <si>
    <t>BH7. Pre-Prohibition Porter</t>
  </si>
  <si>
    <t>BH8. Roggenbier</t>
  </si>
  <si>
    <t>BH9. Sahti</t>
  </si>
  <si>
    <t>Bière Sauvage Américaine</t>
  </si>
  <si>
    <t>28A. Brett Beer</t>
  </si>
  <si>
    <t>28B. Bière Acide de Fermentation Mixte</t>
  </si>
  <si>
    <t>28C. Bière Sauvage Spéciale</t>
  </si>
  <si>
    <t>28D. Bière Acide pure</t>
  </si>
  <si>
    <t>Bière aux Fruits</t>
  </si>
  <si>
    <t>29A. Bière aux Fruits</t>
  </si>
  <si>
    <t>29B. Bière aux Fruits et aux Épices</t>
  </si>
  <si>
    <t>29C. Bière aux Fruits Spéciale</t>
  </si>
  <si>
    <t>29D. Grape Ale</t>
  </si>
  <si>
    <t>Bière aux Épices</t>
  </si>
  <si>
    <t>30A. Bière aux Épices, Herbes ou Légumes</t>
  </si>
  <si>
    <t>30B. Bière d'Automne</t>
  </si>
  <si>
    <t>30C. Bière d'Hiver</t>
  </si>
  <si>
    <t>30D. Bière Spéciale aux Épices</t>
  </si>
  <si>
    <t>Bière aux Fermentescibles Alternatifs</t>
  </si>
  <si>
    <t>31A. Bière aux Céréales Alternatives</t>
  </si>
  <si>
    <t>31B. Bière aux Sucres Alternatifs</t>
  </si>
  <si>
    <t>Bière Fumée</t>
  </si>
  <si>
    <t>32A. Bière Fumée Classique</t>
  </si>
  <si>
    <t>32B. Bière Fumée Spéciale</t>
  </si>
  <si>
    <t>Bière Vieillie en Fût</t>
  </si>
  <si>
    <t>33A. Bière vieillie en Fût de Bois</t>
  </si>
  <si>
    <t>33B. Bière élevée en Fût de Bois Spéciaux</t>
  </si>
  <si>
    <t>Bière Spéciale</t>
  </si>
  <si>
    <t>34A. Bière Commerciale Spéciale</t>
  </si>
  <si>
    <t>34B. Bière de Style Mixte</t>
  </si>
  <si>
    <t>34C. Bière Expérimentale</t>
  </si>
  <si>
    <t>B</t>
  </si>
  <si>
    <t>C</t>
  </si>
  <si>
    <t>D</t>
  </si>
  <si>
    <t>E</t>
  </si>
  <si>
    <t>F</t>
  </si>
  <si>
    <t>G</t>
  </si>
  <si>
    <t>H</t>
  </si>
  <si>
    <t>A</t>
  </si>
  <si>
    <t xml:space="preserve">      27</t>
  </si>
  <si>
    <t xml:space="preserve">     27</t>
  </si>
  <si>
    <t xml:space="preserve">      16C</t>
  </si>
  <si>
    <t xml:space="preserve"> Tropical Stout</t>
  </si>
  <si>
    <t xml:space="preserve">      16D</t>
  </si>
  <si>
    <t xml:space="preserve"> Foreign Extra Stout</t>
  </si>
  <si>
    <t xml:space="preserve">      20B</t>
  </si>
  <si>
    <t xml:space="preserve"> American Stout</t>
  </si>
  <si>
    <t xml:space="preserve">     20C</t>
  </si>
  <si>
    <t xml:space="preserve"> Imperial Stout</t>
  </si>
  <si>
    <t>  Strong Ale</t>
  </si>
  <si>
    <t xml:space="preserve">      17A</t>
  </si>
  <si>
    <t xml:space="preserve"> British Strong Ale</t>
  </si>
  <si>
    <t xml:space="preserve">      17B</t>
  </si>
  <si>
    <t xml:space="preserve"> Old Ale</t>
  </si>
  <si>
    <t xml:space="preserve">      17C</t>
  </si>
  <si>
    <t xml:space="preserve"> Wee Heavy</t>
  </si>
  <si>
    <t xml:space="preserve">     17D</t>
  </si>
  <si>
    <t xml:space="preserve"> English Barley Wine</t>
  </si>
  <si>
    <t xml:space="preserve">      22B</t>
  </si>
  <si>
    <t xml:space="preserve"> American Strong Ale</t>
  </si>
  <si>
    <t xml:space="preserve">      22C</t>
  </si>
  <si>
    <t xml:space="preserve"> American Barleywine</t>
  </si>
  <si>
    <t xml:space="preserve">      22D</t>
  </si>
  <si>
    <t xml:space="preserve"> Wheatwine</t>
  </si>
  <si>
    <t xml:space="preserve">     25C</t>
  </si>
  <si>
    <t xml:space="preserve"> Belgian Golden Strong Ale</t>
  </si>
  <si>
    <t xml:space="preserve">       26C</t>
  </si>
  <si>
    <t xml:space="preserve"> Belgian Tripel</t>
  </si>
  <si>
    <t xml:space="preserve">       26D</t>
  </si>
  <si>
    <t xml:space="preserve"> Belgian Dark Strong Ale</t>
  </si>
  <si>
    <t>  Wheat Beer</t>
  </si>
  <si>
    <t xml:space="preserve">      1D</t>
  </si>
  <si>
    <t xml:space="preserve"> American Wheat Beer</t>
  </si>
  <si>
    <t xml:space="preserve">      10A</t>
  </si>
  <si>
    <t xml:space="preserve"> Weissbier</t>
  </si>
  <si>
    <t xml:space="preserve">      10B</t>
  </si>
  <si>
    <t xml:space="preserve"> Dunkles Weissbier</t>
  </si>
  <si>
    <t xml:space="preserve">     10C</t>
  </si>
  <si>
    <t xml:space="preserve"> Weizenbock</t>
  </si>
  <si>
    <t xml:space="preserve">      23A</t>
  </si>
  <si>
    <t xml:space="preserve"> Berliner Weisse</t>
  </si>
  <si>
    <t xml:space="preserve">      23D</t>
  </si>
  <si>
    <t xml:space="preserve"> Lambic</t>
  </si>
  <si>
    <t xml:space="preserve">      23E</t>
  </si>
  <si>
    <t xml:space="preserve"> Gueuze</t>
  </si>
  <si>
    <t xml:space="preserve">     23F</t>
  </si>
  <si>
    <t xml:space="preserve"> Fruit Lambic</t>
  </si>
  <si>
    <t xml:space="preserve">       23G</t>
  </si>
  <si>
    <t xml:space="preserve"> Gose</t>
  </si>
  <si>
    <t xml:space="preserve">       24A</t>
  </si>
  <si>
    <t xml:space="preserve"> Witbier</t>
  </si>
  <si>
    <t xml:space="preserve"> Historical Beer : Piwo Grodziskie</t>
  </si>
  <si>
    <t xml:space="preserve"> Historical Beer : Lichtenhainer</t>
  </si>
  <si>
    <t xml:space="preserve">    27</t>
  </si>
  <si>
    <t xml:space="preserve"> Historical Beer : Roggenbier</t>
  </si>
  <si>
    <t xml:space="preserve"> Historical Beer : Sahti</t>
  </si>
  <si>
    <t>  Sour Ale</t>
  </si>
  <si>
    <t xml:space="preserve">      23B</t>
  </si>
  <si>
    <t xml:space="preserve"> Flanders Red</t>
  </si>
  <si>
    <t xml:space="preserve">      23C</t>
  </si>
  <si>
    <t xml:space="preserve"> Oud Bruin</t>
  </si>
  <si>
    <t>I</t>
  </si>
  <si>
    <t>J</t>
  </si>
  <si>
    <t>K</t>
  </si>
  <si>
    <t>L</t>
  </si>
  <si>
    <t>(3)12</t>
  </si>
  <si>
    <t>(3)13</t>
  </si>
  <si>
    <t>M</t>
  </si>
  <si>
    <t>N</t>
  </si>
  <si>
    <t>(3)14</t>
  </si>
  <si>
    <t>IPA</t>
  </si>
  <si>
    <r>
      <t xml:space="preserve">Cl -
</t>
    </r>
    <r>
      <rPr>
        <sz val="11"/>
        <rFont val="Calibri"/>
        <family val="2"/>
        <scheme val="minor"/>
      </rPr>
      <t>(chlorure)</t>
    </r>
  </si>
  <si>
    <r>
      <t xml:space="preserve">SO4 2-
</t>
    </r>
    <r>
      <rPr>
        <sz val="11"/>
        <rFont val="Calibri"/>
        <family val="2"/>
        <scheme val="minor"/>
      </rPr>
      <t>(sulfates)</t>
    </r>
  </si>
  <si>
    <r>
      <t xml:space="preserve">Ca 2+
</t>
    </r>
    <r>
      <rPr>
        <sz val="11"/>
        <rFont val="Calibri"/>
        <family val="2"/>
        <scheme val="minor"/>
      </rPr>
      <t>(calcium)</t>
    </r>
  </si>
  <si>
    <r>
      <t xml:space="preserve">Mg 2-
</t>
    </r>
    <r>
      <rPr>
        <sz val="11"/>
        <rFont val="Calibri"/>
        <family val="2"/>
        <scheme val="minor"/>
      </rPr>
      <t>(Magnesium)</t>
    </r>
  </si>
  <si>
    <r>
      <t xml:space="preserve">Na +
</t>
    </r>
    <r>
      <rPr>
        <sz val="11"/>
        <rFont val="Calibri"/>
        <family val="2"/>
        <scheme val="minor"/>
      </rPr>
      <t>(Sodium)</t>
    </r>
  </si>
  <si>
    <r>
      <t xml:space="preserve">HCO3 -
</t>
    </r>
    <r>
      <rPr>
        <sz val="11"/>
        <rFont val="Calibri"/>
        <family val="2"/>
        <scheme val="minor"/>
      </rPr>
      <t>(bicarbonate)</t>
    </r>
  </si>
  <si>
    <t>Très utilisée dans les bières belges comme les Witbier ou les bières de Noël.</t>
  </si>
  <si>
    <r>
      <t xml:space="preserve">Renforce le coté </t>
    </r>
    <r>
      <rPr>
        <b/>
        <sz val="11"/>
        <rFont val="Calibri"/>
        <family val="2"/>
        <scheme val="minor"/>
      </rPr>
      <t>malté</t>
    </r>
    <r>
      <rPr>
        <sz val="11"/>
        <rFont val="Calibri"/>
        <family val="2"/>
        <scheme val="minor"/>
      </rPr>
      <t xml:space="preserve"> et accentue la douceur de la bière.</t>
    </r>
  </si>
  <si>
    <r>
      <t>Accentue l'</t>
    </r>
    <r>
      <rPr>
        <b/>
        <sz val="11"/>
        <rFont val="Calibri"/>
        <family val="2"/>
        <scheme val="minor"/>
      </rPr>
      <t>amertum</t>
    </r>
    <r>
      <rPr>
        <sz val="11"/>
        <rFont val="Calibri"/>
        <family val="2"/>
        <scheme val="minor"/>
      </rPr>
      <t>e et la sécheresse de la bière, mettant en valeur les arômes de houblon.</t>
    </r>
  </si>
  <si>
    <r>
      <t>déterminela</t>
    </r>
    <r>
      <rPr>
        <b/>
        <sz val="11"/>
        <rFont val="Calibri"/>
        <family val="2"/>
        <scheme val="minor"/>
      </rPr>
      <t xml:space="preserve"> dureté </t>
    </r>
    <r>
      <rPr>
        <sz val="11"/>
        <rFont val="Calibri"/>
        <family val="2"/>
        <scheme val="minor"/>
      </rPr>
      <t>de l’eau. Il améliore la clarté, le goût ainsi que la stabilité de la bière. Il apporte également des nutriments pour les levure</t>
    </r>
  </si>
  <si>
    <r>
      <t xml:space="preserve">Stimule la </t>
    </r>
    <r>
      <rPr>
        <b/>
        <sz val="11"/>
        <rFont val="Calibri"/>
        <family val="2"/>
        <scheme val="minor"/>
      </rPr>
      <t xml:space="preserve">fermentation </t>
    </r>
    <r>
      <rPr>
        <sz val="11"/>
        <rFont val="Calibri"/>
        <family val="2"/>
        <scheme val="minor"/>
      </rPr>
      <t>en activant les enzymes de la levure.</t>
    </r>
  </si>
  <si>
    <r>
      <t xml:space="preserve">contribue au « </t>
    </r>
    <r>
      <rPr>
        <b/>
        <sz val="11"/>
        <rFont val="Calibri"/>
        <family val="2"/>
        <scheme val="minor"/>
      </rPr>
      <t>corps de la bière</t>
    </r>
    <r>
      <rPr>
        <sz val="11"/>
        <rFont val="Calibri"/>
        <family val="2"/>
        <scheme val="minor"/>
      </rPr>
      <t xml:space="preserve"> » en accentuant la douceur du malt et la rondeur en bouche.</t>
    </r>
  </si>
  <si>
    <r>
      <t>participe à l’</t>
    </r>
    <r>
      <rPr>
        <b/>
        <sz val="11"/>
        <rFont val="Calibri"/>
        <family val="2"/>
        <scheme val="minor"/>
      </rPr>
      <t xml:space="preserve">alcalinité </t>
    </r>
    <r>
      <rPr>
        <sz val="11"/>
        <rFont val="Calibri"/>
        <family val="2"/>
        <scheme val="minor"/>
      </rPr>
      <t>de l’eau et stabilise le pH en compensant l’acidité naturelle du malt. L’ébullition et/ou la dilution permettent de diminuer sa concentration dans l’eau. En excès peut donner un goût savonneux.</t>
    </r>
  </si>
  <si>
    <r>
      <t xml:space="preserve">mg/L
</t>
    </r>
    <r>
      <rPr>
        <b/>
        <sz val="11"/>
        <rFont val="Calibri"/>
        <family val="2"/>
        <scheme val="minor"/>
      </rPr>
      <t>min</t>
    </r>
  </si>
  <si>
    <r>
      <t xml:space="preserve">mg/L
</t>
    </r>
    <r>
      <rPr>
        <b/>
        <sz val="11"/>
        <rFont val="Calibri"/>
        <family val="2"/>
        <scheme val="minor"/>
      </rPr>
      <t>max</t>
    </r>
  </si>
  <si>
    <r>
      <t>C</t>
    </r>
    <r>
      <rPr>
        <sz val="8"/>
        <rFont val="Inter"/>
      </rPr>
      <t xml:space="preserve"> Sucré, légèrement acidulé, avec des notes fruitées douces.</t>
    </r>
  </si>
  <si>
    <t>PILSNER</t>
  </si>
  <si>
    <t>AMBER LAGER</t>
  </si>
  <si>
    <t>DARK LAGER</t>
  </si>
  <si>
    <t>BOCK</t>
  </si>
  <si>
    <t>PALE ALE</t>
  </si>
  <si>
    <t>SOUR</t>
  </si>
  <si>
    <t>WHEAT BEER</t>
  </si>
  <si>
    <t>STRONG ALE</t>
  </si>
  <si>
    <t>STOUT</t>
  </si>
  <si>
    <t>PORTER</t>
  </si>
  <si>
    <t>BROWN ALE</t>
  </si>
  <si>
    <t>AMBER ALE</t>
  </si>
  <si>
    <t>A01 House</t>
  </si>
  <si>
    <t>Imperial</t>
  </si>
  <si>
    <t>High</t>
  </si>
  <si>
    <t>A04 Barbarian</t>
  </si>
  <si>
    <t>Medium</t>
  </si>
  <si>
    <t>A07 Flagship</t>
  </si>
  <si>
    <t>Low/Med</t>
  </si>
  <si>
    <t>A09 Pub</t>
  </si>
  <si>
    <t>Very High</t>
  </si>
  <si>
    <t>A10 Darkness</t>
  </si>
  <si>
    <t>A15 Independence</t>
  </si>
  <si>
    <t>A18 Joystick</t>
  </si>
  <si>
    <t>Med/High</t>
  </si>
  <si>
    <t>A20 Citrus</t>
  </si>
  <si>
    <t>Low</t>
  </si>
  <si>
    <t>A24 Dry Hop</t>
  </si>
  <si>
    <t>A31 Tartan</t>
  </si>
  <si>
    <t>A38 Juice</t>
  </si>
  <si>
    <t>Abbaye Belgian Ale</t>
  </si>
  <si>
    <t>Lallemand</t>
  </si>
  <si>
    <t>Abbey Ale WLP530</t>
  </si>
  <si>
    <t>White Labs</t>
  </si>
  <si>
    <t>Abbey IV WLP540</t>
  </si>
  <si>
    <t>All the Bretts</t>
  </si>
  <si>
    <t>Omega Yeast</t>
  </si>
  <si>
    <t>Alt Ale BRY 144</t>
  </si>
  <si>
    <t>Siebel Inst.</t>
  </si>
  <si>
    <t>Amer. Hefeweizen Ale WLP320</t>
  </si>
  <si>
    <t>American Ale 1056</t>
  </si>
  <si>
    <t>Wyeast</t>
  </si>
  <si>
    <t>American Ale BRY 96</t>
  </si>
  <si>
    <t>American Ale II 1272</t>
  </si>
  <si>
    <t>American Ale Yeast Blend WLP060</t>
  </si>
  <si>
    <t>American Farmhouse Blend WLP670</t>
  </si>
  <si>
    <t>American Hefeweizen Ale WLP320</t>
  </si>
  <si>
    <t>American Lager 118</t>
  </si>
  <si>
    <t>American Lager 2035</t>
  </si>
  <si>
    <t>American Lager WLP840</t>
  </si>
  <si>
    <t>American West Coast Ale BRY-97</t>
  </si>
  <si>
    <t>American Wheat 1010</t>
  </si>
  <si>
    <t>American Whiskey WLP065</t>
  </si>
  <si>
    <t>Antwerp Ale WLP515</t>
  </si>
  <si>
    <t>Artisanal Country Ale WLP073</t>
  </si>
  <si>
    <t>Australian Ale WLP009</t>
  </si>
  <si>
    <t>B44 Whiteout</t>
  </si>
  <si>
    <t>B45 Gnome</t>
  </si>
  <si>
    <t>B48 Triple Double</t>
  </si>
  <si>
    <t>B51 Workhorse</t>
  </si>
  <si>
    <t>B56 Rustic</t>
  </si>
  <si>
    <t>B63 Monastic</t>
  </si>
  <si>
    <t>B64 Napoleon</t>
  </si>
  <si>
    <t>Baltic Lager ECY22</t>
  </si>
  <si>
    <t>East Coast Yeast</t>
  </si>
  <si>
    <t>Bastogne Belgian Ale Yeast WLP510</t>
  </si>
  <si>
    <t>Bavarian Lager 2206</t>
  </si>
  <si>
    <t>Bavarian Weizen Ale WLP351</t>
  </si>
  <si>
    <t>Bavarian Weizen BRY 235</t>
  </si>
  <si>
    <t>Bavarian Wheat 3638</t>
  </si>
  <si>
    <t>Bavarian Wheat Blend 3056</t>
  </si>
  <si>
    <t>Bavarian Wheat Yeast</t>
  </si>
  <si>
    <t>Mangrove Jack</t>
  </si>
  <si>
    <t>Bayern Lager OYL-114</t>
  </si>
  <si>
    <t>Bedford British Ale WLP006</t>
  </si>
  <si>
    <t>Belgian Abbaye 2 ECY13</t>
  </si>
  <si>
    <t>Belgian Abbaye ECY09</t>
  </si>
  <si>
    <t>Belgian Abbey 1214</t>
  </si>
  <si>
    <t>Belgian Abbey II 1762</t>
  </si>
  <si>
    <t>Belgian Ale A OYL-024</t>
  </si>
  <si>
    <t>Belgian Ale W OYL-028</t>
  </si>
  <si>
    <t>Belgian Ale WLP550</t>
  </si>
  <si>
    <t>Belgian Ale Yeast</t>
  </si>
  <si>
    <t>Belgian Ardennes 3522</t>
  </si>
  <si>
    <t>Belgian Dark Ale 3822-PC</t>
  </si>
  <si>
    <t>Belgian Golden Ale WLP570</t>
  </si>
  <si>
    <t>Belgian Lager WLP815</t>
  </si>
  <si>
    <t>Belgian Lambic Blend 3278</t>
  </si>
  <si>
    <t>Belgian Saison 3724</t>
  </si>
  <si>
    <t>Belgian Saison I WLP565</t>
  </si>
  <si>
    <t>Belgian Saison II OYL-042</t>
  </si>
  <si>
    <t>Belgian Saison II WLP566</t>
  </si>
  <si>
    <t>Belgian Saison III WLP585</t>
  </si>
  <si>
    <t>Belgian Schelde Ale 3655-PC</t>
  </si>
  <si>
    <t>Belgian Sour Mix WLP655</t>
  </si>
  <si>
    <t>Belgian Stout 1581-PC</t>
  </si>
  <si>
    <t>Belgian Strong Ale 1388</t>
  </si>
  <si>
    <t>Belgian Strong Ale WLP545</t>
  </si>
  <si>
    <t>Belgian Style Ale Yeast Blend WLP575</t>
  </si>
  <si>
    <t>Belgian Style Saison Ale Blend WLP568</t>
  </si>
  <si>
    <t>Belgian Wheat 3942</t>
  </si>
  <si>
    <t>Belgian White ECY11</t>
  </si>
  <si>
    <t>Belgian Wit Ale WLP400</t>
  </si>
  <si>
    <t>Belgian Wit II Ale WLP410</t>
  </si>
  <si>
    <t>Belgian Witbier 3944</t>
  </si>
  <si>
    <t>Belle Saison</t>
  </si>
  <si>
    <t>Berliner Blend ECY06</t>
  </si>
  <si>
    <t>Berliner Weisse Blend 3191-PC</t>
  </si>
  <si>
    <t>Berliner Weisse Blend WLP630</t>
  </si>
  <si>
    <t>Bière de Garde 3725-PC</t>
  </si>
  <si>
    <t>Bohemian Lager 2124</t>
  </si>
  <si>
    <t>Bohemian Lager Yeast</t>
  </si>
  <si>
    <t>Bourbon Yeast WLP070</t>
  </si>
  <si>
    <t>Brett Anomala ECY04</t>
  </si>
  <si>
    <t>Brett Blend #1 Where Da Funk? OYL-210</t>
  </si>
  <si>
    <t>Very Low</t>
  </si>
  <si>
    <t>Brett Blend #2 Bit O’ Funk OYL-211</t>
  </si>
  <si>
    <t>Brett Blend #3 Bring On Da Funk OYL-212</t>
  </si>
  <si>
    <t>Brett bruxelensis ECY05</t>
  </si>
  <si>
    <t>Brett custersianus</t>
  </si>
  <si>
    <t>Brett nanus</t>
  </si>
  <si>
    <t>Brettan. Bruxellensis 5112</t>
  </si>
  <si>
    <t>Brettan. Lambicus 5526</t>
  </si>
  <si>
    <t>Brettanomyces Anomalus WLP640</t>
  </si>
  <si>
    <t>Brettanomyces Bruxellensis Trois WLP644</t>
  </si>
  <si>
    <t>Brettanomyces Bruxellensis Trois Vrai WLP648</t>
  </si>
  <si>
    <t>Brettanomyces bruxellensis WLP650</t>
  </si>
  <si>
    <t>Brettanomyces Claussenii WLP645</t>
  </si>
  <si>
    <t>Brettanomyces Lambicus WLP653</t>
  </si>
  <si>
    <t>Brewferm Blanche</t>
  </si>
  <si>
    <t>Brewferm</t>
  </si>
  <si>
    <t>Brewferm Lager</t>
  </si>
  <si>
    <t>Brewferm Top</t>
  </si>
  <si>
    <t>British Ale 1098</t>
  </si>
  <si>
    <t>British Ale I OYL-006</t>
  </si>
  <si>
    <t>British Ale II 1335</t>
  </si>
  <si>
    <t>British Ale V OYL-011</t>
  </si>
  <si>
    <t>British Ale VIII OYL-016</t>
  </si>
  <si>
    <t>British Ale WLP005</t>
  </si>
  <si>
    <t>British Ale Yeast</t>
  </si>
  <si>
    <t>British Cask Ale 1026-PC</t>
  </si>
  <si>
    <t>British Mild Ale ECY18</t>
  </si>
  <si>
    <t>Buchner Ale Blend WLP064</t>
  </si>
  <si>
    <t>Budvar Lager 2000</t>
  </si>
  <si>
    <t>BugCounty ECY20</t>
  </si>
  <si>
    <t>BugFarm ECY01</t>
  </si>
  <si>
    <t>Burlington Ale WLP099</t>
  </si>
  <si>
    <t>Burton Ale WLP023</t>
  </si>
  <si>
    <t>Burton Union ECY17</t>
  </si>
  <si>
    <t>Burton Union Yeast</t>
  </si>
  <si>
    <t>C2C American Farmhouse OYL-217</t>
  </si>
  <si>
    <t>California V Ale WLP051</t>
  </si>
  <si>
    <t>California Ale WLP001</t>
  </si>
  <si>
    <t>California IV Ale WLP019</t>
  </si>
  <si>
    <t>California Lager 2112</t>
  </si>
  <si>
    <t>Canadian/Belgian Ale 3864-PC</t>
  </si>
  <si>
    <t>CBC-1 (Cask and Bottle Conditioning)</t>
  </si>
  <si>
    <t>Charlie's Fist Bump WLP1983</t>
  </si>
  <si>
    <t>Coastal Haze Ale Blend WLP067</t>
  </si>
  <si>
    <t>Coopers Pure Brewers' Yeast</t>
  </si>
  <si>
    <t>Coopers</t>
  </si>
  <si>
    <t>Copenhagen Lager WLP850</t>
  </si>
  <si>
    <t>Cream Ale WLP80</t>
  </si>
  <si>
    <t>Cry Havoc WLP862</t>
  </si>
  <si>
    <t>Czech Budejovice Lager WLP802</t>
  </si>
  <si>
    <t>Czech Pils 2278</t>
  </si>
  <si>
    <t>Danish Lager 2042</t>
  </si>
  <si>
    <t>Debaryomyces HansenII WLP692</t>
  </si>
  <si>
    <t>Denny's Favorite 50 Ale 1450</t>
  </si>
  <si>
    <t>Diamond Lager</t>
  </si>
  <si>
    <t>DIPA Ale OYL-052</t>
  </si>
  <si>
    <t>Dry English ale WLP007</t>
  </si>
  <si>
    <t>Dusseldorf Alt WLP036</t>
  </si>
  <si>
    <t>East Coast Ale WLP008</t>
  </si>
  <si>
    <t>East Midlands Ale WLP039</t>
  </si>
  <si>
    <t>Edinburgh Ale WLP028</t>
  </si>
  <si>
    <t>English Ale Blend WLP085</t>
  </si>
  <si>
    <t>English Ale BRY 264</t>
  </si>
  <si>
    <t>English Ale WLP002</t>
  </si>
  <si>
    <t>English Special Bitter 1768-PC</t>
  </si>
  <si>
    <t>Essex Ale Yeast WLP022</t>
  </si>
  <si>
    <t>European Ale WLP011</t>
  </si>
  <si>
    <t>European Lager 2247-PC</t>
  </si>
  <si>
    <t>F08 Sour Batch Kidz</t>
  </si>
  <si>
    <t>Farmhouse Ale 3726</t>
  </si>
  <si>
    <t>Farmhouse Brett ECY03</t>
  </si>
  <si>
    <t>Fast Lager Yeast WLP845</t>
  </si>
  <si>
    <t>Flanders Golden Ale 3739-PC</t>
  </si>
  <si>
    <t>Flemish Ale Blend WLP665</t>
  </si>
  <si>
    <t>Flemish Ale ECY02</t>
  </si>
  <si>
    <t>Flor Sherry WLP700</t>
  </si>
  <si>
    <t>Forbidden Fruit Yeast 3463</t>
  </si>
  <si>
    <t>French Ale WLP072</t>
  </si>
  <si>
    <t>French Saison 3711</t>
  </si>
  <si>
    <t>French Saison WLP590</t>
  </si>
  <si>
    <t>Funky Cider Blend WLP616</t>
  </si>
  <si>
    <t>G01 Stefon</t>
  </si>
  <si>
    <t>G02 Kaiser</t>
  </si>
  <si>
    <t>G03 Dieter</t>
  </si>
  <si>
    <t>German Ale 1007</t>
  </si>
  <si>
    <t>German Ale II WLP003</t>
  </si>
  <si>
    <t>German Ale/Kölsch WLP029</t>
  </si>
  <si>
    <t>German Bock OYL-111</t>
  </si>
  <si>
    <t>German Bock Lager Yeast WLP833</t>
  </si>
  <si>
    <t>German Lager I OYL-106</t>
  </si>
  <si>
    <t>Medium-Low</t>
  </si>
  <si>
    <t>German Lager WLP830</t>
  </si>
  <si>
    <t>GermanX Lager WLP835</t>
  </si>
  <si>
    <t>German Wheat 3333</t>
  </si>
  <si>
    <t>Hansen Ale Blend WLP075</t>
  </si>
  <si>
    <t>Hefeweizen Ale I OYL-021</t>
  </si>
  <si>
    <t>Hefeweizen Ale WLP300</t>
  </si>
  <si>
    <t>Hefeweizen IV Ale WLP380</t>
  </si>
  <si>
    <t>Hella Bock Lager 2487-PC</t>
  </si>
  <si>
    <t>High Pressure Lager WLP925</t>
  </si>
  <si>
    <t>Hornindal Kveik OYL-091</t>
  </si>
  <si>
    <t>HotHead™ Ale OYL-057</t>
  </si>
  <si>
    <t>Irish Ale 1084</t>
  </si>
  <si>
    <t>Irish Ale OYL-005</t>
  </si>
  <si>
    <t>Irish Ale WLP004</t>
  </si>
  <si>
    <t>Jovaru™ Lithuanian Farmhouse OYL-033</t>
  </si>
  <si>
    <t>Kellerbier ECY28</t>
  </si>
  <si>
    <t>Kentucky Bourbon WLP070</t>
  </si>
  <si>
    <t>Klassic Ale WLP033</t>
  </si>
  <si>
    <t>Kölsch 2565</t>
  </si>
  <si>
    <t>Kolsch II OYL-044</t>
  </si>
  <si>
    <t>Kolsch Yeast II 2575-PC</t>
  </si>
  <si>
    <t>Kölschbier ECY21</t>
  </si>
  <si>
    <t>Kombucha Scoby WLP600</t>
  </si>
  <si>
    <t>L05 Cablecar</t>
  </si>
  <si>
    <t>L13 Global</t>
  </si>
  <si>
    <t>L17 Harvest</t>
  </si>
  <si>
    <t>L28 Urkel</t>
  </si>
  <si>
    <t>Lactobacillus 5335</t>
  </si>
  <si>
    <t>Lactobacillus Brevis WLP672</t>
  </si>
  <si>
    <t>Lactobacillus Buchneri WLP673</t>
  </si>
  <si>
    <t>Lactobacillus Delbrueckii Bacteria WLP677</t>
  </si>
  <si>
    <t>low</t>
  </si>
  <si>
    <t>Lactobacillus Hilgardii WLP678</t>
  </si>
  <si>
    <t>Lactobacillus Paracollinoides WLP669</t>
  </si>
  <si>
    <t>Leeuwenhoek Saison Blend WLP564</t>
  </si>
  <si>
    <t>Leuven Pale Ale 3538-PC</t>
  </si>
  <si>
    <t>London Ale 1028</t>
  </si>
  <si>
    <t>London Ale III 1318</t>
  </si>
  <si>
    <t>London Ale WLP013</t>
  </si>
  <si>
    <t>London ESB</t>
  </si>
  <si>
    <t>London ESB Ale 1968</t>
  </si>
  <si>
    <t>London Fog Ale WLP066</t>
  </si>
  <si>
    <t>Lucky #7</t>
  </si>
  <si>
    <t>Real Brewers Yeast</t>
  </si>
  <si>
    <t>Malolactic Cultures WLP675</t>
  </si>
  <si>
    <t>Manchester Ale WLP038</t>
  </si>
  <si>
    <t>Maranon Canyon Wild Cacao WLP546</t>
  </si>
  <si>
    <t>Melbourne Ale WLP059</t>
  </si>
  <si>
    <t>Mexican Lager Yeast WLP940</t>
  </si>
  <si>
    <t>Monastery Ale WLP500</t>
  </si>
  <si>
    <t>Munich Classic Wheat</t>
  </si>
  <si>
    <t>Med-High</t>
  </si>
  <si>
    <t>Munich Festbier ECY15</t>
  </si>
  <si>
    <t>Munich Helles WLP860</t>
  </si>
  <si>
    <t>Munich Lager 2308</t>
  </si>
  <si>
    <t>Munich Lager II 2352-PC</t>
  </si>
  <si>
    <t>Munich Wheat</t>
  </si>
  <si>
    <t>Muntons Premium Gold</t>
  </si>
  <si>
    <t>Muntons</t>
  </si>
  <si>
    <t>Muntons Standard Yeast</t>
  </si>
  <si>
    <t>Neutral Grain WLP078</t>
  </si>
  <si>
    <t>LalBrew New England</t>
  </si>
  <si>
    <t>New Nordic Ale WLP611</t>
  </si>
  <si>
    <t>Newcastle Dark Ale Yeast</t>
  </si>
  <si>
    <t>North American Lager 2272-PC</t>
  </si>
  <si>
    <t>North European Lager BRY 203</t>
  </si>
  <si>
    <t>Northeast Ale ECY29</t>
  </si>
  <si>
    <t>Northwest Ale 1332</t>
  </si>
  <si>
    <t>Nottingham</t>
  </si>
  <si>
    <t>Octoberfest Lager Blend 2633</t>
  </si>
  <si>
    <t>Oktoberfest/Märzen WLP820</t>
  </si>
  <si>
    <t>Old Bavarian Lager Yeast WLP920</t>
  </si>
  <si>
    <t>Old Newark Ale ECY10</t>
  </si>
  <si>
    <t>Old Newark Beer ECY12</t>
  </si>
  <si>
    <t>Old Sonoma Ale WLP076</t>
  </si>
  <si>
    <t>Opshaug Kviek Ale WLP5</t>
  </si>
  <si>
    <t>Oud Brune ECY23</t>
  </si>
  <si>
    <t>Pacific Ale WLP041</t>
  </si>
  <si>
    <t>Pediococcus Cerivisiae 5733</t>
  </si>
  <si>
    <t>Pediococcus Damnosus WLP661</t>
  </si>
  <si>
    <t>Pilsner I OYL-101</t>
  </si>
  <si>
    <t>Pilsen Lager 2007</t>
  </si>
  <si>
    <t>Pilsner Lager WLP800</t>
  </si>
  <si>
    <t>Premium Bitter Ale WLP026</t>
  </si>
  <si>
    <t>Rasenmäher Lager 2252-PC</t>
  </si>
  <si>
    <t>Ringwood Ale 1187</t>
  </si>
  <si>
    <t>Rocky Mountain Lager 2105-PC</t>
  </si>
  <si>
    <t>Roeselare Ale Blend 3763</t>
  </si>
  <si>
    <t>Varies</t>
  </si>
  <si>
    <t>Saccharomyces "Bruxellensis" Trois WLP644</t>
  </si>
  <si>
    <t>SafAle BE-134</t>
  </si>
  <si>
    <t>Fermentis</t>
  </si>
  <si>
    <t>SafAle BE-256</t>
  </si>
  <si>
    <t>SafAle F-2</t>
  </si>
  <si>
    <t>SafAle K-97</t>
  </si>
  <si>
    <t>SafAle S-04</t>
  </si>
  <si>
    <t>Safbrew WB-06</t>
  </si>
  <si>
    <t>SafLager S-189</t>
  </si>
  <si>
    <t>SafLager S-23</t>
  </si>
  <si>
    <t>SafLager W-34/70</t>
  </si>
  <si>
    <t>Saison Brasserie ECY08</t>
  </si>
  <si>
    <t>Saison Single ECY14</t>
  </si>
  <si>
    <t>Saisonstein's Monster OYL-500</t>
  </si>
  <si>
    <t>San Diego Super Yeast WLP090</t>
  </si>
  <si>
    <t>San Francisco Lager WLP810</t>
  </si>
  <si>
    <t>Scotch Whisky WLP045</t>
  </si>
  <si>
    <t>Scottish Ale 1728</t>
  </si>
  <si>
    <t>Scottish Heavy ECY07</t>
  </si>
  <si>
    <t>Session Ale ECY27</t>
  </si>
  <si>
    <t>Sonoma Ale WLP076</t>
  </si>
  <si>
    <t>So. German Lager WLP838</t>
  </si>
  <si>
    <t>Southwold Ale WLP025</t>
  </si>
  <si>
    <t>Staro Prague Lager 2782-PC</t>
  </si>
  <si>
    <t>Super High Gravity WLP099</t>
  </si>
  <si>
    <t>Tennessee Whiskey WLP050</t>
  </si>
  <si>
    <t>Thames Valley Ale WLP030</t>
  </si>
  <si>
    <t>Thames Valley Ale 1275</t>
  </si>
  <si>
    <t>Thames Valley Ale II 1882-PC</t>
  </si>
  <si>
    <t>The Monk</t>
  </si>
  <si>
    <t>The One</t>
  </si>
  <si>
    <t>Torulaspora Delbrueckll WLP603</t>
  </si>
  <si>
    <t>Trappist Ale BRY 204</t>
  </si>
  <si>
    <t>Trappist Ale WLP500</t>
  </si>
  <si>
    <t>Trappist High Gravity 3787</t>
  </si>
  <si>
    <t>Trappist Style Blend 3789-PC</t>
  </si>
  <si>
    <t>Tropical IPA OYL-200</t>
  </si>
  <si>
    <t>Urquell Lager 2001</t>
  </si>
  <si>
    <t>US West Coast Yeast</t>
  </si>
  <si>
    <t xml:space="preserve">Voss Kveik OYL-061 </t>
  </si>
  <si>
    <t>W15 Suburban Brett</t>
  </si>
  <si>
    <t>Weihenstephan Weizen 3068</t>
  </si>
  <si>
    <t>West Coast Ale I OYL-004</t>
  </si>
  <si>
    <t>West Yorkshire Ale 1469</t>
  </si>
  <si>
    <t>Whitbread Ale 1099</t>
  </si>
  <si>
    <t>Whitbread II Ale WLP017</t>
  </si>
  <si>
    <t>Windsor (British Ale)</t>
  </si>
  <si>
    <t>Workhorse Beer Yeast</t>
  </si>
  <si>
    <t>Ye Olde English</t>
  </si>
  <si>
    <t>Yorkshire Square WLP037</t>
  </si>
  <si>
    <t>Zurich Lager Yeast WLP885</t>
  </si>
  <si>
    <t>House is clean and allows malt and hops to shine. This strain is extremely versatile and flocculent enough to drop out of the beer quickly. Best used in American IPAs but works well in English style ales. House is clean at cold temperatures with increased esters as fermentation temperatures increase.</t>
  </si>
  <si>
    <t>Ready to attack your IPA, Barbarian produces stone fruit esters that work great when paired with citrus hops. Barbarian will give you what you need for an exceptionally balanced IPA.</t>
  </si>
  <si>
    <t>Flagship is a versatile strain loved for its extremely clean character. This strain performs well at standard ale temperatures, but can be used in the low 60s to produce exceptionally crisp ales. Flocculation is in the middle of the road and will typically require filtration or fining to achieve crystal clear beers.</t>
  </si>
  <si>
    <t>Brewers swear by this strain to achieve super bright ales in a short amount of time. One of the most flocculent brewer’s strains around, Pub will rip through fermentation and then drop out of the beer quickly. Pub produces higher levels of esters than most domestic ale strains. Be sure to give beers made with Pub a sufficient diacetyl rest.</t>
  </si>
  <si>
    <t>A beautiful strain for stout, porter, brown, and amber ales. Darkness produces a unique character that matches up perfectly with roasted and caramel malts. This strain is alcohol tolerant, so don’t hesitate to throw high gravity worts its way.</t>
  </si>
  <si>
    <t>Independence is the strain for bringing some new character into your hop-driven beers. Higher in esters than Flagship, this yeast will give some fruit character that will take your hoppy beers to a new level. While it shines in pale ales and IPAs, Independence is a great all-around strain and will also work well in stouts and English ales.</t>
  </si>
  <si>
    <t>This strain is a fast mover and can be used at the low end of the ale fermentation spectrum to keep it clean. Joystick is a good choice for big, high alcohol, malty beers but has no issues chomping on a hoppy double IPA.</t>
  </si>
  <si>
    <t>Citrus cranks out orange and lemon aromas along with some tropical fruit. Use this strain at high temps for big ester production. A wild saccharomyces strain, it will get a bit funky without the worries of a brettanomyces strain.</t>
  </si>
  <si>
    <t>Dry Hop is a blend of A20 Citrus and A04 Barbarian.  When this blend goes to work on your hoppy beer, the hop aroma blows up.  The combination of these strains produces amazing aromas of citrus, peach and apricot that will accentuate your IPA, pale ale, and any other hop driven beer.</t>
  </si>
  <si>
    <t>Tartan is a traditional strain that accentuates the malt character of Scottish ales.  It can also be used for other styles and works well in IPAs due to its clean character.  For a higher ester profile, use this ale yeast at the top end of the temperature range.</t>
  </si>
  <si>
    <t>Juicy. Fruity. Juice is an amazing strain for East Coast IPAs. The ester profile of Juice brings out the aromas and flavors of the new school hops and creates a beers  that is greater than the sum of its parts. Keep an eye on this strain, it likes to move to the top of fermentation and will climb out the the fermenter if too full.</t>
  </si>
  <si>
    <t>Abbaye is an ale yeast of Belgian origin selected for its ability to produce great Belgian style beers including high gravity beers such as Dubbel, Trippel and Quads.</t>
  </si>
  <si>
    <t>Produces fruitiness and plum characteristics.</t>
  </si>
  <si>
    <t>Authentic Trappist style yeast. Available Jul-Aug.</t>
  </si>
  <si>
    <t>A blend of nearly every Brett in our collection. Use All the Bretts in secondary and expect high attenuation and a fruity and funky complexity that continues to develop over time. This evolving blend always contains at least 10 Brett strains.</t>
  </si>
  <si>
    <t>Full flavored, but clean tasting with estery flavor.</t>
  </si>
  <si>
    <t>Produces a slight amount of banana and clove notes.</t>
  </si>
  <si>
    <t>Well balanced. Ferments dry, finishes soft.</t>
  </si>
  <si>
    <t>Clean ale strain</t>
  </si>
  <si>
    <t>Slightly nutty, soft, clean and tart finish.</t>
  </si>
  <si>
    <t>Blend celebrates the strengths of California ale strains.</t>
  </si>
  <si>
    <t>Consists of a traditional farmhouse strain and Brettanomyces.</t>
  </si>
  <si>
    <t>This strain ferments much cleaner than it’s hefeweizen strain counterparts. It produces very slight banana and clove notes and has low flocculation</t>
  </si>
  <si>
    <t>Produces slightly fruity beer, some residual sugar.</t>
  </si>
  <si>
    <t>Bold, complex and aromatic; slight diacetyl.</t>
  </si>
  <si>
    <t>Dry and clean with a very slight apple fruitiness.</t>
  </si>
  <si>
    <t>Very clean ale flavor.</t>
  </si>
  <si>
    <t>Produces a dry, slightly tart, crisp beer.</t>
  </si>
  <si>
    <t>Produces low ester profile and moderate fussel oils. Used in high-gravity beers.</t>
  </si>
  <si>
    <t>Clean, almost lager-like with biscuity ale aroma. Available Nov-Dec.</t>
  </si>
  <si>
    <t>A classic Bière de Garde strain, it produces slight esters and mild phenols, while preserving the sweet aromatics from the malt bill</t>
  </si>
  <si>
    <t>For a clean, malty and bready beer.</t>
  </si>
  <si>
    <t>This is the strain for Belgian Wit style beers. Whiteout produces an excellent balance of spicy phenolic character and esters. Along with the necessary aromatics, this strain produces a significant amount of acidity which is perfect for wits and other light colored Belgian ales. Whiteout can be flocculent during fermentation, then become non-flocculent at the end. This may lead to slower than normal fermentation.</t>
  </si>
  <si>
    <t>Gnome is the yeast for brewing Belgian inspired beers in a hurry. This strain is extremely flocculent and drops out of the beer quickly after fermentation. Gnome produces a nice phenolic character that goes well with hops, as well as with caramel and toffee flavors. Great for Belgian ales that need to be crystal clear without filtration.</t>
  </si>
  <si>
    <t>The perfect strain for your classic abbey ales. Triple Double produces moderate esters with low to no phenolic characteristics. This strain is tried and true and works perfectly in a production environment. Keep an eye on Triple Double, it likes to sit on top of the wort throughout fermentation which may result in a slow  fermentation.</t>
  </si>
  <si>
    <t>Saison…no problem. Belgian stout, double… yep. Workhorse is the strain to use for a wide variety of brews. Super clean, this fast-attenuating strain has good flocculation characteristics. High alcohol tolerance makes this a great option for big Belgian beers.</t>
  </si>
  <si>
    <t>This unique yeast can be used in your saison, farmhouse ale, or other Belgian styles where high ester levels are important. Rustic typically produces a lot of bubblegum and juicy aromas that compliment complex maltiness.</t>
  </si>
  <si>
    <t>This strain is a beautiful yeast for fermenting abbey ales, especially quads; high alcohol and dark Belgian beers. Monastic will produce beers with a high level of phenolic character and esters. It can be slow to begin fermentation but will easily dry out high gravity worts. This strain is a low flocking strain, so expect it to stay suspended for a long time.</t>
  </si>
  <si>
    <t>This yeast is an insane wort attenuator. Napoleon will destroy the sugars in your saison and farmhouse beers – even the ones in which most brewer’s strains have no interest. When all is said and done, Napoleon produces very dry, crisp beers with nice citrus aromas. Yeast settling times can be long, usually requiring filtration for bright beers.</t>
  </si>
  <si>
    <t>Full malt flavor and clean finish.</t>
  </si>
  <si>
    <t>A high gravity, Trappist style ale yeast.</t>
  </si>
  <si>
    <t>Produces rich, malty, full-bodied beers.</t>
  </si>
  <si>
    <t>Moderately high, spicy phenolic overtones of cloves.</t>
  </si>
  <si>
    <t>A very estery beer with mild clove-like spiciness.</t>
  </si>
  <si>
    <t>Balance banana esters w/ apple and plum esters.</t>
  </si>
  <si>
    <t>Produces mildly estery and phenolic wheat beers.</t>
  </si>
  <si>
    <t>Lots of classic banana and clove esters, balanced with clove and cinnamon-like phenolic aromas.</t>
  </si>
  <si>
    <t>Thought to come from Munich’s oldest, traditional and vintage-vibed brewery. The Bayern Lager strain is clean, crisp and ferments well at a wide range. It has good flocculation, and has both low sulfur and low diacetyl production.</t>
  </si>
  <si>
    <t>Good choice for most English style ales.</t>
  </si>
  <si>
    <t xml:space="preserve">Traditional Belgian yeast with a complex, dry, fruity malt profile. Well balanced of spice and bubble-gum. Rated highly in sensory tests described in "Brew Like a Monk" for complexity and low production of higher alcohols. Very strong fermenter - 12 % alcohol tolerance. </t>
  </si>
  <si>
    <t>This yeast produces classic Belgian-style ales - robust, estery with a large note of clove and plum fruit. Rated highly in sensory tests described in "Brew Like a Monk" for complexity and low production of higher alcohols.</t>
  </si>
  <si>
    <t>Abbey-style, top-fermenting yeast for high gravity.</t>
  </si>
  <si>
    <t>Slightly fruity with a dry finish.</t>
  </si>
  <si>
    <t>As one of the few highly flocculent Belgian ale strains, Belgian Ale A is thought to originate from a Wallonian brewery whose reputation dwarfs the small village in which it is located. It makes a great Belgian house strain. It is brewery friendly, crops easily and has a well-rounded flavor profile with balanced fruitiness and phenolics. Esters increase with upward temperatures.</t>
  </si>
  <si>
    <t>An eruptive top cropper displaying nice fruit and rustic phenolics, the reliable Belgian Ale W is thought to be from a famous tripel brewer. A good flocculator with a wide temperature range. Three famous brewers ferment this on vastly different schedules, showing the versatile outcomes available.</t>
  </si>
  <si>
    <t>Phenolic and spicy flavours dominate the profile.</t>
  </si>
  <si>
    <t>Spicy and peppery characteristics.</t>
  </si>
  <si>
    <t>Mild fruitiness with complex spicy character.</t>
  </si>
  <si>
    <t>This unique Belgian ale yeast is a high acid producer with balanced ester and phenol production allowing a good expression of malt profile, especially the strong flavors of darker malts and sugars. High alcohol tolerance. Spicy, tart, and dry on the palate with a very complex finish.</t>
  </si>
  <si>
    <t>A combination of fruitiness and phenolic flavors.</t>
  </si>
  <si>
    <t>Clean, crisp with low sulfur production. Available Jan-Feb.</t>
  </si>
  <si>
    <t>Rich, earthy aroma and acidic finish.</t>
  </si>
  <si>
    <t>Very tart and dry with spicy and bubblegum aromatics</t>
  </si>
  <si>
    <t>Produces earthy, spicy, and peppery notes.</t>
  </si>
  <si>
    <t>Thought to originate from a small, sophisticated, Belgian brewer’s spelt saison, Belgian Saison II is earthy, spicy, peppery, tart and dry, with tropical fruit and citrus at warm fermentation temperatures. It is a perfect strain for farmhouse ales and saisons. It favors pitching in the upper 60s or low 70s and being allowed free-rise from there.
This strain tests positive for the STA1 gene, an indicator of Saccharomyces cerevisiae var. diastaticus. This strain may have the ability to metabolize dextrins over time, resulting in higher than expected attenuation.</t>
  </si>
  <si>
    <t>Fruity ester production, moderately phenolic.</t>
  </si>
  <si>
    <t>High fruit ester, slight tartness. Available Jul-Aug.</t>
  </si>
  <si>
    <t>From the East Flanders - Antwerpen region of Belgium, this unique top-fermenting yeast produces complex, classic Belgian aromas and flavors that meld well with premium quality pale and crystal malts. Well-rounded and smooth textures are exhibited with a full bodied malty profile and mouthfeel.</t>
  </si>
  <si>
    <t>Includes Brettanomyces, Saccharomyces, and the bacterial strains Lactobacillus and Pedioccus.</t>
  </si>
  <si>
    <t>A very versatile ale strain from Belgium. Excellent for Belgian stouts and Belgian specialty ales. Ferments to dryness and produces moderate levels of esters without significant phenolic or spicy characteristics.</t>
  </si>
  <si>
    <t>Fruity nose and palate, dry, tart finish.</t>
  </si>
  <si>
    <t>Moderate levels of ester and spicy phenolic character.</t>
  </si>
  <si>
    <t>Blend of Trappist yeast and Belgian ale yeast</t>
  </si>
  <si>
    <t>Complex, fruity aromas and flavors.</t>
  </si>
  <si>
    <t>Apple and plum like nose with dry finish.</t>
  </si>
  <si>
    <t>Isolated from the Hainaut region, this pure yeast will produce flavors reminiscent of witbiers. Hazy, low flocculation.</t>
  </si>
  <si>
    <t>Slightly phenolic and tart.</t>
  </si>
  <si>
    <t>Spicier, sweeter, and less phenolic than WLP400.</t>
  </si>
  <si>
    <t>Alcohol tolerant, with tart, slight phenolic profile.</t>
  </si>
  <si>
    <t>Aroma is fruity, spicy and peppery due to ester and phenol production.</t>
  </si>
  <si>
    <t>For lactic sourness. Contains a Kölsch ale yeast and two Lactobacillus strains.</t>
  </si>
  <si>
    <t>This blend includes a German ale strain with low ester formation and a dry, crisp finish. The Lactobacillus included produces moderate levels of acidity. The unique Brettanomyces strain imparts a critical earthy characteristic that is indicative of a true Berliner Weisse. When this blend is used, expect a slow start to fermentation as the yeast and bacteria in the blend is balanced to allow proper acid production. It generally requires 3-6 months of aging to fully develop flavor characteristics. Use this blend with worts containing extremely low hopping rates.</t>
  </si>
  <si>
    <t>Creates a subtle tart drinkable beer.</t>
  </si>
  <si>
    <t>Low to moderate ester production with subtle spiciness. Malty and full on the palate with initial sweetness. Finishes dry and slightly tart. Ferments well with no sluggishness.</t>
  </si>
  <si>
    <t>Ferments clean and malty.</t>
  </si>
  <si>
    <t>Earthy spiciness of both noble hops and Pilsner malt will be enhanced and supported by moderate to full body.</t>
  </si>
  <si>
    <t>Produces a caramel malty character with balanced ester profile. Used in high-gravity beers.</t>
  </si>
  <si>
    <t>Very estery with some light funk and acidity.</t>
  </si>
  <si>
    <t>One Brett-famous Colorado brewery strain, plus two strains that were formerly classified as Brett (but are now known to be Saccharomyces), result in huge tropical fruit aromas that mingle well with fruity aroma hops. Note that aroma intensity fades a bit during conditioning. Brett Blend #1: Where Da Funk? has a wide temperature range, finishes very dry, and leaves neither much funk nor much body (consider adding flaked oats for body). Mild funk level and low acidity is consistent even with extended aging
This strain tests positive for the STA1 gene, an indicator of Saccharomyces cerevisiae var. diastaticus, and is capable of fermenting dextrins, resulting in very high attenuation.</t>
  </si>
  <si>
    <t>Brett Blend #2: Bit O’ Funk contains the two Saccharomyces strains from Brett Blend #1 (OYL-210) for primary fermentation and is spiked with Brettanomyces bruxellensis for development of classic, funkforward Brett character during secondary fermentation. The bit ‘o funkiness will take extended time to develop (3 months or more)
This strain tests positive for the STA1 gene, an indicator of Saccharomyces cerevisiae var. diastaticus, and is capable of fermenting dextrins, resulting in very high attenuation.</t>
  </si>
  <si>
    <t>Brett Blend #3: Bring on Da Funk consists of two Saccharomyces strains from Brett Blend #1 (OYL-210) spiked with both Brettanomyces bruxellensis and Brettanomyces lambicus, plus two additional Brettanomyces isolates from a Brett-famous Colorado brewery, plus two Brett isolates from an “intense” Belgian source to equal a funky, fruity, complex 8-strain composition. The Brett character will develop over time, as will acid production if exposed to oxygen.
This strain tests positive for the STA1 gene, an indicator of Saccharomyces cerevisiae var. diastaticus, and is capable of fermenting dextrins, resulting in very high attenuation.</t>
  </si>
  <si>
    <t>Quite funky with barnyard notes accompanied by esters.</t>
  </si>
  <si>
    <t>Displays an ester profile of mango and peach esters with limited to no barnyard funk.</t>
  </si>
  <si>
    <t>Reveals a spicy saison-like profile with none to low esters.</t>
  </si>
  <si>
    <t>Produces classic lambic characteristics.</t>
  </si>
  <si>
    <t>Pie cherry-like flavor and sourness.</t>
  </si>
  <si>
    <t>Typical barnyard funk character with some fruitiness. Acidity is medium.</t>
  </si>
  <si>
    <t>Produces a slightly tart beer with delicate characteristics of mango and pineapple.</t>
  </si>
  <si>
    <t>The vrai (“true” in French) Brettanomyces bruxellensis Trois.</t>
  </si>
  <si>
    <t>Classic strain used in secondary for Belgian styles.</t>
  </si>
  <si>
    <t>Low intensity Brett character. More aroma than flavor.</t>
  </si>
  <si>
    <t>High Brett character. Horsey, Smokey and spicy flavors.</t>
  </si>
  <si>
    <t>Ferments clean with little or no sulphur.</t>
  </si>
  <si>
    <t>Develops Witbeer aromas like banana and clove.</t>
  </si>
  <si>
    <t>Universal top-fermenting beer yeast.</t>
  </si>
  <si>
    <t>Ferments dry and crisp, slightly tart and fruity.</t>
  </si>
  <si>
    <t>A productive, brewer-friendly top cropper attributed to a historic London brewery whose lab once hosted Louis Pasteur, British Ale I drops fast and clear, and is clean and crisp at low temperatures with heightened esters and a lightly tart, dry finish at the upper range. Try also British Ale II (OYL-007) for less attenuation and enhanced malts or British VIII (OYL-016).</t>
  </si>
  <si>
    <t>Malty flavor, crisp finish, clean, fairly dry.</t>
  </si>
  <si>
    <t>A good top cropper thought to be from a famous Manchester bitter maker, British V’s lingering haze and residual sweetness pairs popularly with the signature look and huge, fruity hop profile of the New England IPAs (NEIPA). Alternately, try DIPA (OYL-052) for slightly less residual sweetness.</t>
  </si>
  <si>
    <t>A ridiculously thorough flocculator thought to be from a highly regarded English ESB, British Ale VIII has unique fruitiness and noticeable finishing sweetness. It drops out quickly and completely. It is easy to crop, but needs a diacetyl rest. To enhance the fruit, ferment at the recommended temperature ceiling.</t>
  </si>
  <si>
    <t>English strain that produces malty beers.</t>
  </si>
  <si>
    <t>Earthy, nutty, orange peel and mild spice.</t>
  </si>
  <si>
    <t>A great yeast choice for any cask-conditioned British Ale and one that is especially well suited for hoppy bitters, IPAs and Australian ales. Produces a nice malt profile, and finishes crisp and slightly tart. Low to moderate fruit ester producer that clears well without filtration.</t>
  </si>
  <si>
    <t>Limited availability. Complex, woody ester profile. Leaves a malt profile with a slight sweetness.</t>
  </si>
  <si>
    <t xml:space="preserve">A blend of two strains that adds creaminess with a hint of crispness. Great for pale ales, cream ales and American wheats. </t>
  </si>
  <si>
    <t>Malty nose with subtle fruit. Finishes dry and crisp.</t>
  </si>
  <si>
    <t>Availability: Nov-Dec. Contains the largest mix organisms for Lambic-style brewing.</t>
  </si>
  <si>
    <t>A large complex blend of cultures to emulate sour beers.</t>
  </si>
  <si>
    <t xml:space="preserve">This yeast is the signature strain for a brewery in the Northeast United States, making it ideal for New England-style IPAs. </t>
  </si>
  <si>
    <t>Subtle fruity flavors: apple, clover honey and pear.</t>
  </si>
  <si>
    <t>Produces a bold, citrusy character which accentuates mineral and hop flavors. Well suited for classic English pale ales and ESB.</t>
  </si>
  <si>
    <t>Some pear esters, possibly strawberry or kiwi-like aromas.</t>
  </si>
  <si>
    <t>C2C American Farmhouse is a coast to coast blend of one saison strain from a famous Northeast U.S. brewery and one Brettanomyces strain from a Northwest U.S. brewery. The blend results in a fast developing fruity and funky farmhouse ale.
This strain tests positive for the STA1 gene, an indicator that this strain may have the ability to metabolize dextrins over time, resulting in higher than expected attenuation.</t>
  </si>
  <si>
    <t>Produces a fruity, full-bodied beer.</t>
  </si>
  <si>
    <t>Clean flavors accentuate hops; very versatile.</t>
  </si>
  <si>
    <t>Moderately clean strain with a low ester profile and less sulfur production than WLP051.</t>
  </si>
  <si>
    <t>Produces malty, brilliantly clear beers.</t>
  </si>
  <si>
    <t>This alcohol tolerant strain produces complex and well-balanced Belgian Abbey style ales. Banana and fruit esters are complemented nicely with mild levels of phenolics and hints of acidity. Ester levels may be elevated by increasing gravity and fermentation temperatures.</t>
  </si>
  <si>
    <t>Valued for its refermentation ability.</t>
  </si>
  <si>
    <t>Previously called WLP862 Cry Havoc Lager Yeast, this strain is licensed from Charlie Papazian and can ferment at both ale and lager temperatures</t>
  </si>
  <si>
    <t>New England-style IPA strains is great for producing beers with a hazy appearance and tropical, fruit-forward esters.</t>
  </si>
  <si>
    <t>Clean, round flavor profile.</t>
  </si>
  <si>
    <t>This northern European lager strain emphasizes clean and crisp characteristics. Malt flavors tend to be secondary, promoting clean drinkability.</t>
  </si>
  <si>
    <t>A blend of ale and lager strains that creates a clean, crisp, light American lager style.</t>
  </si>
  <si>
    <t>Can ferment at ale and lager temperatures, allowing for a variety of beer styles.</t>
  </si>
  <si>
    <t>Produces dry and crisp lagers, with low diacetyl.</t>
  </si>
  <si>
    <t>Dry but malty finish.</t>
  </si>
  <si>
    <t>Rich Dortmund style with crisp, dry finish.</t>
  </si>
  <si>
    <t xml:space="preserve">Debaryomyces is one of the wild yeasts isolated from lambics in Belgium. </t>
  </si>
  <si>
    <t>This terrific all-round yeast can be used for almost any beer style, and is a mainstay of one of our local homebrewers, Mr. Denny Conn. It is unique in that it produces a big mouthfeel and accentuates the malt, caramel, or fruit character of a beer without being sweet or under-attenuated.</t>
  </si>
  <si>
    <t>Neutral Flavor and Aroma, typical of traditional Lagers</t>
  </si>
  <si>
    <t>A strong fermenter popularly referred to as “Conan.” Its peach, apricot and pineapple notes are steroids for hops, complementing modern fruity hop profiles in particular. A diacetyl rest is suggested if fermented in the lower temperature range.</t>
  </si>
  <si>
    <t>Good for high gravity ales with no residuals.</t>
  </si>
  <si>
    <t>Produces clean, slightly sweet alt beers.</t>
  </si>
  <si>
    <t>Very clean and low esters.</t>
  </si>
  <si>
    <t>Available Sept-Oct. Medium to low fusel fruit and alcohol production.</t>
  </si>
  <si>
    <t>Malty, strong Scottish ales.</t>
  </si>
  <si>
    <t>Moderate fruitiness and mineral-like.</t>
  </si>
  <si>
    <t>Clean ale with slightly nutty and estery character.</t>
  </si>
  <si>
    <t>Very clear with some residual sweetness.</t>
  </si>
  <si>
    <t>A great yeast for malt-predominate ales. Produces light fruit and ethanol aromas along with soft, nutty flavors. Exhibits a mild malt profile with a neutral finish. Bright beers are easily achieved without any filtration. It is similar to our 1968 London ESB Ale but slightly less flocculent.</t>
  </si>
  <si>
    <t>Drier finish than many British ale yeasts</t>
  </si>
  <si>
    <t>Low ester production, giving a clean profile.</t>
  </si>
  <si>
    <t>This strain exhibits a very clean and dry flavor profile often found in aggressively-hopped lagers. Produces mild aromatics and slight sulfur notes typical of classic pilsners. This yeast is a good attenuator resulting in beers with a distinctively crisp finish.</t>
  </si>
  <si>
    <t>Sour Batch Kidz is a blend of low attenuating Belgian saison yeast, Lactobacillus, and two Brettanomyces yeast strains. This blend is great for emulating lambics, Flanders reds, sour farmhouse ales and any other brew you would like to funk up.</t>
  </si>
  <si>
    <t>This strain produces complex esters balanced with earthy/spicy notes. Slightly tart and dry with a peppery finish. A perfect strain for farmhouse ales and saisons.</t>
  </si>
  <si>
    <t>Limited availability. Produces a fruity and funky profile with some acidity.</t>
  </si>
  <si>
    <t xml:space="preserve">Use this strain when you need a lager sooner rather than later. Low sulfur production and medium flocculation characteristics. </t>
  </si>
  <si>
    <t>This well-balanced strain from northern Belgium will produce moderate levels of both fruity esters and spicy phenols while finishing dry with a hint of malt. 3739-PC is a robust and versatile strain that performs nicely in a broad range of Belgian styles.</t>
  </si>
  <si>
    <t>Creates a complex, dark stone fruit characteristic.</t>
  </si>
  <si>
    <t>Dry, sour, leathery and notes of cherry stone.</t>
  </si>
  <si>
    <t>Creates green almond, Granny Smith apple and nougat characteristics found in sherry. For use in secondary fermentation.</t>
  </si>
  <si>
    <t>Phenolic profile, subdued fruitiness.</t>
  </si>
  <si>
    <t>Clean strain that complements malt flavor. Available May-June.</t>
  </si>
  <si>
    <t>A very versatile strain that produces Saison or farmhouse style beers as well as other Belgian style beers that are highly aromatic (estery), peppery, spicy and citrusy. This strain enhances the use of spices and aroma hops, and is extremely attenuative but leaves an unexpected silky and rich mouthfeel. This strain can also be used to re-start stuck fermentations or in high gravity beers.</t>
  </si>
  <si>
    <t>One of our most popular saison strains, it is great for farmhouse-style beers because it produces flavors and aromas of pear, apple and cracked</t>
  </si>
  <si>
    <t>This is the traditional German strain used to produce world class weizen beers where big banana aroma is required. Balanced with mild clove, depending on your wort profile, this strain will produce amazing beers. Stefon will create a slightly higher level of acidity to give your beer a very crisp finish. Slightly underpitching will help increase the banana character.</t>
  </si>
  <si>
    <t>A traditional alt strain, Kaiser is ready to produce an array of German style beers. It will keep the beer clean and allow the delicate malt flavors and aromas to shine through. Characteristics of this strain make it a good choice for traditional Berliner weisse fermentations. Kaiser is a low flocking strain, so expect long clarification times, but very low diacetyl levels.</t>
  </si>
  <si>
    <t>Dieter is a clean, crisp, traditional German Kölsch strain. A very low ester profile makes this strain perfect for Kölsch, Alt and other light colored delicate beers. Dieter has better flocculation characteristics than most Kölsch strains which allows brewers to produce clean, bright beers in a shorter amount of time.</t>
  </si>
  <si>
    <t>Ferments dry and crisp with a mild flavor.</t>
  </si>
  <si>
    <t xml:space="preserve">A great strain for clean ales such as kölsch, altbier, and German-style pale ales. </t>
  </si>
  <si>
    <t>A super-clean, lager-like ale.</t>
  </si>
  <si>
    <t>Thought to be from the famous brewery in Aying, Bavaria, this is a versatile lager strain that balances malt and hop flavors well. It is superb for bocks, doppelbocks, Oktoberfest lagers, helles and a favorite for American pilsners, too.</t>
  </si>
  <si>
    <t>Produces well balanced beers of malt and hop character.</t>
  </si>
  <si>
    <t>Versatile, crisp, malty profile, light esters and a wide fermentation range. This is thought to be the world’s most used lager strain and can produce a convincing lager at ale temperatures. Fermenting in the low temperature range (45 – 55° F), it maintains a more crisp profile. Temperatures higher in range (65 – 68° F) bring out slightly heightened esters. Rest for diacetyl.</t>
  </si>
  <si>
    <t>Malty and clean; great for all German lagers.</t>
  </si>
  <si>
    <t>Classic yeast from a famous Bavarian monastery. This strain develops a creamy, malty beer profile with low sulfur production and low esters.</t>
  </si>
  <si>
    <t>Sharp, tart crispness, fruity, sherry-like palate.</t>
  </si>
  <si>
    <t>This is a blend of many IPA strain favorites. It has the attenuation of WLP090 San Diego Super Ale Yeast and the character of WLP007 Dry English</t>
  </si>
  <si>
    <t>A classic German wheat strain, it’s a cloudy, big top cropper. Presenting banana and clove, the esters turn up with increased temps, wort density and decreased pitch rate, or stay muted at lower temps where clove stands out. Over-pitching can lessen the banana. Sulfur conditions out. See also Belgian Ale A (OYL-024)for an alternate complexity.</t>
  </si>
  <si>
    <t>Produces banana and clove nose.</t>
  </si>
  <si>
    <t>Crisp, large clove and phenolic aroma and flavor.</t>
  </si>
  <si>
    <t>Direct from the Austrian Alps, this strain will produce rich, full-bodied and malty beers with a complex flavor profile and a great mouth feel. Attenuates well while still leaving plenty of malt character and body. Beers fermented with this strain will benefit from a temperature rise for a diacetyl rest at the end of primary fermentation.</t>
  </si>
  <si>
    <t>Used to ferment lager beer in one week. Ferment at room temperature; 62-68°F (17-20°C) under 1.0 bar (14.7 PSI) until final gravity is obtained</t>
  </si>
  <si>
    <t>A wonderfully unique Norwegian farmstead “kveik,” Hornindal produces a tropical flavor and complex aroma that can present itself as stonefruit, pineapple, and dried fruit leather, which complement fruit-forward hops. Add even more dimension to “C” hops and increase ester intensity with a high fermentation temperature. Ferments well at 90° F/32° C or higher. Non-phenolic and no fusels, even at higher temps.</t>
  </si>
  <si>
    <t>A highly flocculent Norwegian ale strain with an astoundingly wide temperature range and little change in flavor across the range, Hothead™ is clean enough for both American and English styles. It has a unique honey-like aroma with overripe mango which is complementary to modern, fruity hops. Temperature control is unnecessary with this strain. Non-phenolic and no fusels, even at higher temperatures.</t>
  </si>
  <si>
    <t>Slight residual diacetyl and fruitiness.</t>
  </si>
  <si>
    <t>Ireland’s storied stout is thought to be balanced by this dry, crisp, lightly fruity, versatile and powerful strain. The Irish Ale strain is a good fermenter with reliable, average flocculation and a hint of fruit at the lowest recommended temperatures, which increases in complexity at higher temperatures (64° F/18° C and higher). Some diacetyl possible. Successful in dark and high gravity beers. Sláinte!</t>
  </si>
  <si>
    <t>Light fruitiness and slight dry crispness.</t>
  </si>
  <si>
    <t>Borne from an exclusive partnership with the famed Jovaru™ Brewery’s “queen of Lithuanian farmhouse beer,” this unique yeast complements farmhouse beers with citrusy esters and restrained phenols. The strain produces a character of lemon pith, black pepper, and a soft mouthfeel. I sveikata!
This strain tests positive for the STA1 gene, an indicator of Saccharomyces cerevisiae var. diastaticus. This strain may have the ability to metabolize dextrins over time, resulting in higher than expected attenuation.</t>
  </si>
  <si>
    <t>This yeast exhibits a clean, crisp lager in the traditional northern German character. Use in German pilsners including Kellerbier.</t>
  </si>
  <si>
    <t>From a traditional distillery in the heart of Bourbon Country, this strain produces a malty caramel character with a balanced ester profile</t>
  </si>
  <si>
    <t>Traditional English single-strain yeast. Produces signature ester characters and does not mask hop flavors. Leaves ales with a slightly sweet malt</t>
  </si>
  <si>
    <t>Malty with a subdued fruitiness and a crisp finish.</t>
  </si>
  <si>
    <t>This Kolsch strain is warmer fermenting than Kolsch I (OYL-017), flocculates much better and clears more quickly, so it is a little easier to manage. It is a lager-like ale strain that’s lightly fruity, crisp and clean with a hint of sulfur that disappears with age to leave a clean ale. Accentuates hop flavors.</t>
  </si>
  <si>
    <t>This authentic Kӧlsch strain from one of Germany’s leading brewing schools has a rich flavor profile which accentuates a soft malt finish. It has Low or no detectable diacetyl production and will also ferment well at colder temperatures for fast lager type beers.</t>
  </si>
  <si>
    <t>Produces a clean lager-like profile at ale fermentation temperatures. Smooth mineral and malt flavors come through with a clean, lightly yeasty flavor and aroma in the finish.</t>
  </si>
  <si>
    <t>White Labs now offers WLP600 Kombucha SCOBY, a symbiotic culture of bacteria and yeast that is used for fermenting sweet tea into kombucha</t>
  </si>
  <si>
    <t>This strain is for fermenting your “California Common” beer. Cablecar can produce clean pseudo lagers at ale temperatures but is also willing to work as a traditional lager strain down to the mid-50s.</t>
  </si>
  <si>
    <t>The world’s most popular lager strain is ready for you. Global is an all-around solid lager strain that produces clean beers with a very low ester profile. This strain is very powdery, so long lagering times or filtration is required for bright beer.</t>
  </si>
  <si>
    <t>This strain combines good flocculation characteristics with low sulfur and low diacetyl. Clean fermentations produce amazing bock, helles, pilsner, dunkles, and just about any other lager style you throw its way.</t>
  </si>
  <si>
    <t>A traditional Czech lager strain, Urkel allows for a nice balance between hops and malt. This strain can be slightly sulphery during fermentation, but it cleans up during lagering. Fermentation at the higher end of the range will produce a beer with minimal sulfur and a light ester profile.</t>
  </si>
  <si>
    <t>Lactic acid bacteria.</t>
  </si>
  <si>
    <t xml:space="preserve">This is a rod-shaped Lactobacillus bacteria used for souring beers through either traditional or kettle souring techniques. </t>
  </si>
  <si>
    <t>This strain is recommended for souring. Can be used for sour kettle/mash or in secondary fermentation.</t>
  </si>
  <si>
    <t>This lactic acid bacteria produces moderate levels of acidity and sour flavors found in lambics, Berliner Weisse, sour brown ales and gueuze.</t>
  </si>
  <si>
    <t xml:space="preserve">Lactic acid bacteria that produces medium acidity. Low hop tolerance (&lt;10). Great for Berliner weisse, gueuze and lambics. </t>
  </si>
  <si>
    <t xml:space="preserve">This strain has been isolated from Belgian lambics. Originally referred to as Lactobacillus pastorianous, it has now been reclassified. </t>
  </si>
  <si>
    <t xml:space="preserve">A blend of two saison strains and a low phenolic Belgian strain, developed for the White Labs in-house saisons. </t>
  </si>
  <si>
    <t>A complex alternative to the standard German wheat strain profile of 3068 Weihenstephan Weizen. This strain produces apple, pear, and plum esters in addition to the dominant banana character. The esters are complemented nicely by clove and subtle vanilla phenolics. The balance can be manipulated towards ester production through increasing fermentation temperature, increasing the wort density, and decreasing the pitch rate. Over pitching can result in a near complete loss of banana character. Decreasing the ester level will allow a higher clove character to be perceived. Sulfur is commonly produced, but will dissipate with conditioning. This strain is very powdery and will remain in suspension for an extended amount of time following attenuation. This is true top-cropping yeast and requires fermenter headspace of 33%.</t>
  </si>
  <si>
    <t>Bold and crisp with a rich mineral profile.</t>
  </si>
  <si>
    <t>Very light and fruity, with a soft, balanced palate.</t>
  </si>
  <si>
    <t>Dry malty ale yeast for pales, bitters and stouts.</t>
  </si>
  <si>
    <t>Neutral to slightly fruity and estery flavor and aroma, allowing Malt aromas and flavors to shine through</t>
  </si>
  <si>
    <t>Rich, malty character with balanced fruitiness.</t>
  </si>
  <si>
    <t>for New England-style IPAs. It produces a medium ester profile similar to WLP008 East Coast Ale Yeast. It leaves some residual sweetness, helping accentuate both malt and hop flavors and aromas, while retaining a velvety mouthfeel.</t>
  </si>
  <si>
    <t>Southern California ale yeast that ferments higher gravity worts up to 10% ABV.</t>
  </si>
  <si>
    <t>Clean, dry finish with low esters.</t>
  </si>
  <si>
    <t>This yeast was isolated from the thought to be extinct Pure Nacional variety of cacao</t>
  </si>
  <si>
    <t>A yeast isolated from Australia in the early 1900s, it is a clean fermenting strain well suited for many American and English beer styles.</t>
  </si>
  <si>
    <t>Produces clean lager beer, with a crisp finish.</t>
  </si>
  <si>
    <t>Sourced from a Belgian monastery, this strain is ideal for Belgian quads, trippels and dubbels due to its high alcohol tolerance.</t>
  </si>
  <si>
    <t>Aroma and flavor is balanced with prominent fruity esters and spicy phenol notes of banana and clove.</t>
  </si>
  <si>
    <t>Recommended for German lagers</t>
  </si>
  <si>
    <t>Clean and strong fermenter. Available Mar-Apr.</t>
  </si>
  <si>
    <t>Very smooth, well-rounded and full-bodied.</t>
  </si>
  <si>
    <t>Seasonal Availability. Low diacetyl and low sulfur aroma. Great for malt-driven lagers.</t>
  </si>
  <si>
    <t>Estery to both palate and nose with typical banana notes.</t>
  </si>
  <si>
    <t>Clean balanced ale yeast for 100% malt recipies.</t>
  </si>
  <si>
    <t>Clean well balanced ale yeast.</t>
  </si>
  <si>
    <t>Clean, fast fermentation used in high-gravity beers.</t>
  </si>
  <si>
    <t>Neutral to slightly fruity and estery flavor and aroma</t>
  </si>
  <si>
    <t>Isolated from spontaneously fermented apples on a remote island off the coast of Denmark in the fall of 2009</t>
  </si>
  <si>
    <t>Aromas reminiscent of rich, dark fruit.</t>
  </si>
  <si>
    <t>Traditional culture of North American and Canadian lagers, light pilsners and adjunct beers. Mildly malty profile, medium ester profile, well balanced. Malty finish.</t>
  </si>
  <si>
    <t>Well-balanced beer, fewer sulfur compounds.</t>
  </si>
  <si>
    <t>A unique ale yeast with an abundance of citrusy esters accentuating American style hops.</t>
  </si>
  <si>
    <t>Malty, mildly fruity, good depth and complexity.</t>
  </si>
  <si>
    <t>Neutral for an ale yeast; fruity estery aromas.</t>
  </si>
  <si>
    <t>Plenty of malt character and mouth feel. Low in sulfer.</t>
  </si>
  <si>
    <t>Produces a very malty, bock-like style.</t>
  </si>
  <si>
    <t>Finishes malty with a slight ester profile. Use in beers such as Octoberfest, Bock, and dark lagers.</t>
  </si>
  <si>
    <t>Sourced from a defunct east coast brewery, this pure strain was identified as their "ale-pitching yeast" with likely British heritage. Good for all styles of American and English ales with light fruity esters, high flocculation and a compact sedimentation. Robust and reliable.</t>
  </si>
  <si>
    <t>Identified as S. cerevisae, hence it is not a true lager strain, but should ferment at lager temperatures.</t>
  </si>
  <si>
    <t>Neutral and versatile. Available May-June</t>
  </si>
  <si>
    <t>Sourced from our friend Lars Marius Garshol, this kveik strain was isolated from a mixed culture which belonged to Harald Opshaug</t>
  </si>
  <si>
    <t>For those who prefer sourness without the presence of Brett.</t>
  </si>
  <si>
    <t>A popular ale yeast from the Pacific Northwest.</t>
  </si>
  <si>
    <t>Perfect for use in any sour program, this is a cocci bacteria known for its souring capabilities through the production of lactic acid.</t>
  </si>
  <si>
    <t>Thought to be the H strain of the famous Plzen brewer, this lager strain has a dry and neutral taste profile and is gently malty with a lightly perceptible floral aroma. The first of the famous Czech strains inspiring America’s most famous light, brilliantly clear, golden lagers. Commonly produces sulfur during fermentation that clears during lagering. Watch out for diacetyl.</t>
  </si>
  <si>
    <t>Smooth malty palate; ferments dry and crisp.</t>
  </si>
  <si>
    <t>Somewhat dry with a malty finish.</t>
  </si>
  <si>
    <t>From Staffordshire, England. Fermentation gives a mild but complex estery character. Ferments strong and dry and is good for high-gravity beers</t>
  </si>
  <si>
    <t>Seasonal Availability. Produces clean lagers at low temp. fermentations, but also yields slight ester at higher temps.</t>
  </si>
  <si>
    <t>A malty, complex profile that clears well.</t>
  </si>
  <si>
    <t>Perfect for that “Banquet Style” beer, this lager strain, born high in the Colorado Rockies, ferments well at cooler temperatures with an emphasis on the malt finish. Will work well for all North American lagers, light pilsners and adjunct beers. Mild malty profile, medium ester profile, well balanced.</t>
  </si>
  <si>
    <t>Our blend of lambic cultures produce beer with a complex, earthy profile and a distinctive pie cherry sourness. Aging up to 18 months is required for a full flavor profile and acidity to develop. Specific proportions of a Belgian style ale strain, a sherry strain, two Brettanomyces strains, a Lactobacillus culture, and a Pediococcus culture produce the desirable flavor components of these beers as they are brewed in West Flanders. Propagation of this culture is not recommended and will result in a change of the proportions of the individual components. This blend will produce a very dry beer due to the super-attenuative nature of the mixed cultures.</t>
  </si>
  <si>
    <t xml:space="preserve">This Belgian strain, traditionally used for wild yeast fermentations, produces a slightly tart beer with delicate mango and pineapple... </t>
  </si>
  <si>
    <t xml:space="preserve">This typical yeast strain is recommended for Belgian Saison-style beers and is characterized by a particularly high attenuation. It gives fruity
aromas with a spicy character such as clove notes. This strain will produce highly refreshing and drinkable beers. </t>
  </si>
  <si>
    <t>Active dry yeast recommended to brew a diversity of beers amongst which abbey style beers known for their high alcohol content.
It ferments very fast and reveals subtle and well-balanced aromas.</t>
  </si>
  <si>
    <t>SafAle F-2 has been selected specifically for secondary fermentation in bottle and in cask. This yeast assimilates very little maltotriose but
assimi-lates basic sugars (glucose, fructose, saccharose, maltose) and is caracterized by a neutral aroma profile respecting the base beer
character.</t>
  </si>
  <si>
    <t>German ale yeast selected for its ability to form a large firm head when fermenting. Suitable to brew ales with low esters and can be used for
Belgian type wheat beers.</t>
  </si>
  <si>
    <t>English ale yeast selected for its fast fermentation character and its ability to form a compact sediment at the end of fermentation, helping to
improve beer clarity. Recommended for the production of a large range of ales and specially adapted to cask-conditioned ones and
fermentation in cylindo-conical tanks</t>
  </si>
  <si>
    <t>General purpose ale yeast with neutral flavor profiles. Its low attenuation gives beers with a very good length on the palate. Particularly
recom-mended for specialty ales and trappist type beers. Yeast with a medium sedimentation: forms no clumps but a powdery haze when
resuspended in the beer.</t>
  </si>
  <si>
    <t>Specialty yeast selected for its estery somewhat peppery and spicy flavor development. Yeast with a medium sedimentation: forms no
clumps but a powdery haze when resuspended in the beer.</t>
  </si>
  <si>
    <t>American ale yeast producing well balanced beers with low diacetyl and a very clean, crisp end palate. Forms a firm foam head and
presents a very good ability to stay in suspension during fermentation.</t>
  </si>
  <si>
    <t>Produces subtle estery and phenol flavor notes typical of wheat beers.</t>
  </si>
  <si>
    <t>Originating from the Hürlimann brewery in Switzerland. This lager strain’s attenuation profile allows to brew fairly neutral flavor beers with a
high drinkability.</t>
  </si>
  <si>
    <t>Produces a fruit esterness in lagers.</t>
  </si>
  <si>
    <t>Good balance of floral and fruity aromas, clean flavor.</t>
  </si>
  <si>
    <t>A combination of several saison yeast strains for both fruity and spicy characteristics accompanied with dryness.</t>
  </si>
  <si>
    <t>This strain leaves a smooth, full farmhouse character with mild esters reminiscent of apple pie spice.</t>
  </si>
  <si>
    <t>Saisonstein's Monster is an Omega-original, genetic hybrid of two Saison strains, the French (OYL-026) and Belgian (OYL-027). It is versatile, aromatic and attenuative with a silky mouthfeel. It excels in high gravity and it ferments more reliably and thoroughly than its parents. It is spicy, complex, tart, dry and crisp with some bubblegum character present from its Belgian parent, and more fruit and fewer phenolics than its French parent. Attenuation is 80-90% or more.
This strain tests positive for the STA1 gene, an indicator of Saccharomyces cerevisiae var. diastaticus, and is capable of fermenting dextrins, resulting in very high attenuation.</t>
  </si>
  <si>
    <t>Versatile, super-fast, super-clean strain.</t>
  </si>
  <si>
    <t>For "California Common" type beer.</t>
  </si>
  <si>
    <t>Used for scotch whiskey production from the early 1950s. Used in high-gravity beers.</t>
  </si>
  <si>
    <t>Suited for Scottish-style ales, high-gravity ales.</t>
  </si>
  <si>
    <t>Leaves a fruity profile with woody, oak esters reminiscent of malt whiskey. Well suited for 90/shilling or heavier ales including old ales and barleywines.</t>
  </si>
  <si>
    <t>Soft, yeasty, fruity nose with complex esters of ripe fruit, apricots, and rose petals. Unique for bitters and Scottish shilling ales, as well as, session IPAs.</t>
  </si>
  <si>
    <t>From a historic brewery in Northern California.</t>
  </si>
  <si>
    <t>A malty finish and balanced aroma.</t>
  </si>
  <si>
    <t>From Suffolk County, England. This yeast produces complex fruit, citrus, and spice flavors. Great for British-style bitters and pale ales.</t>
  </si>
  <si>
    <t>This yeast will help create medium to full body lagers with moderate fruit and bready malt flavors. The balance is slightly toward malt sweetness and will benefit from additional hop bittering. A fantastic strain for producing classic Bohemian lagers.</t>
  </si>
  <si>
    <t>High gravity yeast, ferments up to 25% alcohol.</t>
  </si>
  <si>
    <t>Creates rich, smooth flavors. Used in high-gravity beers.</t>
  </si>
  <si>
    <t xml:space="preserve">Very flocculant strain for all things English. Great for porters, stouts and ESBs. Lower ester production than most English strains </t>
  </si>
  <si>
    <t>Clean, light malt character with low esters.</t>
  </si>
  <si>
    <t>This strain was originally sourced from a now defunct brewery on the banks of the River Thames outside of Oxford, England. Thames Valley II produces crisp, dry beers with a rich malt profile and moderate stone fruit esters. This attenuative strain is also highly flocculent resulting in bright beers not requiring filtration. A thorough diacetyl rest is recommended after fermentation is complete.</t>
  </si>
  <si>
    <t>Ferments tripels and high-gravity ales to 15% ABV.</t>
  </si>
  <si>
    <t>California ale yeast great for West Coast-style pale ales and IPAs.</t>
  </si>
  <si>
    <t>Wild yeast isolated from fruit trees in Denmark. This is one of the three strains that make up WLP611</t>
  </si>
  <si>
    <t>Dry estery flavor with a light clove-like spiciness.</t>
  </si>
  <si>
    <t>Distinctive fruitiness and plum characteristics.</t>
  </si>
  <si>
    <t>Ferments dry, rich ester profile and malty palate.</t>
  </si>
  <si>
    <t>A unique blend of Belgian Saccharomyces and Brettanomyces for emulating Trappist style beer from the Florenville region in Belgium. Phenolics, mild fruitiness and complex spicy notes develop with increased fermentation temperatures. Subdued but classic Brett character.</t>
  </si>
  <si>
    <t>Tropical IPA is a unique Saccharomyces strain formerly classified as a Brettanomyces strain, that produces delicate, tart, tropical mango and pineapple fruit characteristics with a clean finish. Try it at its higher temperatures to bring out the tropical profile. It’s stubbornly non-flocculent, but worth it.
This strain tests positive for the STA1 gene, an indicator of Saccharomyces cerevisiae var. diastaticus, and is capable of fermenting dextrins, resulting in very high attenuation.</t>
  </si>
  <si>
    <t>Mild fruit and floral aroma. Very dry with mouth feel.</t>
  </si>
  <si>
    <t>Very neutral strain. Citrus and pine hops will be enhanced.</t>
  </si>
  <si>
    <t>A traditional Norwegian kveik directly from the Gjernes farmstead, Voss Kveik’s orange-citrus notes present throughout its wide temperature range. So, like the mango-honey profile of HotHead™ Ale (OYL-057), Voss Kveik’s orange-citrus is relatively clean across its fermentation temperature range and pairs well with citrusy, fruity hops. Fermentation speed takes off at higher temperatures. Non-phenolic.</t>
  </si>
  <si>
    <t>Suburban Brett is Brettanomyces yeast that works great as a secondary aging strain. It really shines when used in wood barrels and will produce complex and balanced aromas of sour cherry and dried fruit.  It can also be used for as a primary strain for brett only beers</t>
  </si>
  <si>
    <t>A unique, rich and spicy weizen character.</t>
  </si>
  <si>
    <t>Popularly called “Chico,” West Coast Ale I is a reliable, versatile and popular neutral foundation for displays of malts and hops. Often used as a house strain, it is highly attenuative and moderately flocculent. And it ferments crisp and clean with light citrus notes under 66° F (19° C). Also try DIPA (OYL-052) or British I (OYL-006) to highlight hops more, or West Coast II (OYL-009) and Scottish Ale (OYL-015) for malt displays.</t>
  </si>
  <si>
    <t>This strain produces ales with a full chewy malt flavor and character, but finishes dry, producing famously balanced beers. Expect moderate nutty and stone-fruit esters. Best used for the production of cask-conditioned bitters, ESB and mild ales. Reliably flocculent, producing bright beer without filtration</t>
  </si>
  <si>
    <t>Mildly malty and slightly fruity.</t>
  </si>
  <si>
    <t>Brittish style, slightly fruity with a hint of sulfur.</t>
  </si>
  <si>
    <t>Full-bodied, fruity English ale.</t>
  </si>
  <si>
    <t>Neutral and clean aroma suitable for all styles. Imitates lager characteristics.</t>
  </si>
  <si>
    <t xml:space="preserve">Smooth and creamy for English </t>
  </si>
  <si>
    <t>Availability: Nov-Dec. Toasty with malt-driven esters.</t>
  </si>
  <si>
    <t>Swiss style lager yeast with minimal sulfer and diacetyl production.</t>
  </si>
  <si>
    <t>Lab</t>
  </si>
  <si>
    <t>SMASH</t>
  </si>
  <si>
    <t>SMASH BANDICOOT</t>
  </si>
  <si>
    <t>1er brassin</t>
  </si>
  <si>
    <t>07//01/2024</t>
  </si>
  <si>
    <t>Hop stand (85° 20min)</t>
  </si>
  <si>
    <t>2g</t>
  </si>
  <si>
    <t>J+18</t>
  </si>
  <si>
    <t>2,2 vol CO2</t>
  </si>
  <si>
    <t>Carbonation pas assez importante, monter à 5,5g/L la prochaine fois</t>
  </si>
  <si>
    <t>Problème de filtration</t>
  </si>
  <si>
    <t>Cristalline</t>
  </si>
  <si>
    <t>100g</t>
  </si>
  <si>
    <t>21C. NEIPA / Hazy IPA</t>
  </si>
  <si>
    <t xml:space="preserve">Servomyces </t>
  </si>
  <si>
    <t>nutriment de levure pour bière</t>
  </si>
  <si>
    <t>Antioxin SBT</t>
  </si>
  <si>
    <t>Antioydant pour le brassage, favorise la conservation</t>
  </si>
  <si>
    <t>Protafloc </t>
  </si>
  <si>
    <t>produit à base de carraghénane. Il est ajouté au moût pendant l'ébullition pour améliorer l'élimination des protéines lorsque le moût refroidit.</t>
  </si>
  <si>
    <t>Pour l'utiliser, ajoutez UNE DEMI PASTILLE pour 20L  (entre 10 mg et 60 mg par litre de moût) dans les 15 dernières minutes de l'ébullition</t>
  </si>
  <si>
    <t>CHOUFF'LEURE</t>
  </si>
  <si>
    <t>Copie de la Chouffe</t>
  </si>
  <si>
    <t>date</t>
  </si>
  <si>
    <t>5min avant la fin de l'ébbulition</t>
  </si>
  <si>
    <t>30 min d'ébullition</t>
  </si>
  <si>
    <t>6,6g</t>
  </si>
  <si>
    <r>
      <t xml:space="preserve">Ensemencement à 26°C (je pensais etre en dessous des 24) mais refroidit à 20 dans les 3h qui suivent
</t>
    </r>
    <r>
      <rPr>
        <b/>
        <sz val="11"/>
        <color rgb="FFFF0000"/>
        <rFont val="Calibri"/>
        <family val="2"/>
        <scheme val="minor"/>
      </rPr>
      <t>Fermenteur mal refermé après le 2ieme dry hop, risque important d'oxydation: cold crash avancé de 24h</t>
    </r>
  </si>
  <si>
    <t>Au final j'ai trouvé la biere un poil trop amer, à l alimite du hop burn</t>
  </si>
  <si>
    <t>Au final l'amertume était un peu trop présente, à la limite du hop burn</t>
  </si>
  <si>
    <t>dont Vol sirop</t>
  </si>
  <si>
    <t xml:space="preserve">resucrage en cuve de transfert
Rempli quasi au rabords de la bouteille pour minimiser l'oxydation </t>
  </si>
  <si>
    <t>A NEW HOP</t>
  </si>
  <si>
    <t>21L de Cristalline à l'empattage --&gt; pb au tirage donc on a rincé avec 6L comme on pouvait et on a rajouté 5L d'eau Plus encore 2,5L de cristalline à la fin du refroidissement pour passer de 1070 à 1055</t>
  </si>
  <si>
    <t>9j</t>
  </si>
  <si>
    <t>5j</t>
  </si>
  <si>
    <t>VOLCANO!!!!! J'en ensemencé à 22°C j'aurais du le faire à 18 pendant 2-3j et monter progressivement à 22</t>
  </si>
  <si>
    <t>Experimentale</t>
  </si>
  <si>
    <t>Poivre timut</t>
  </si>
  <si>
    <t>Piquant, épicé, avec des notes fruitées et citriques</t>
  </si>
  <si>
    <t>400g</t>
  </si>
  <si>
    <t>Mistral</t>
  </si>
  <si>
    <t>Notes de melon
d'agrumes et de vin</t>
  </si>
  <si>
    <t> IPA, Saison, Pale Ale, bière belge, Pilsner</t>
  </si>
  <si>
    <t>Il est unique !
Cascade, Strisselspalt</t>
  </si>
  <si>
    <t>Concombre</t>
  </si>
  <si>
    <t>cold Crash</t>
  </si>
  <si>
    <t>80g</t>
  </si>
  <si>
    <t>julienne à 75°C apres le whirpool (10min)</t>
  </si>
  <si>
    <t>Recette inspirée de la Freestyle #12 d'Anosteke</t>
  </si>
  <si>
    <t xml:space="preserve">Hazy IPA au note riche d'ananas
Recette expériemntal riche en thpréccurseur thiols grace à l'ajout de Phantasm powder, d'un nouveau houblon expérimental HS17701 et la levure WLP077 de White Labs.
Adaptée de laecette test de Motler Hop https://www.littlebock.fr/recettes-bieres/126971/nom/mh-hazy-ipa-phantasm-hs17701 </t>
  </si>
  <si>
    <t>à peine concassé "minute", infusion à 85° jusqu'au fermenteur</t>
  </si>
  <si>
    <t>10-50g/L rapé 10 min à 75°C</t>
  </si>
  <si>
    <t>Bières légères, bières d'été, o</t>
  </si>
  <si>
    <t>x</t>
  </si>
  <si>
    <t>J+7</t>
  </si>
  <si>
    <t>densité 1,010</t>
  </si>
  <si>
    <t>Tytymut and Cucumis</t>
  </si>
  <si>
    <t>Hazy IPA</t>
  </si>
  <si>
    <t>Krush</t>
  </si>
  <si>
    <t>pêche, mangue, baies, goyave, agrumes, fruits tropicaux</t>
  </si>
  <si>
    <t>IPA, NEIPA, Pale Ale, Double IPA</t>
  </si>
  <si>
    <t>Galaxy, Mosaic, Citra</t>
  </si>
  <si>
    <t>Luminosa</t>
  </si>
  <si>
    <t>NEIPA, Hoppy Lager, American Pale Ale, IPA, Double IPA, Pale Ale.</t>
  </si>
  <si>
    <t>citronnade pêche-mangue, écorce d'orange, mûre, papaye, goyave (ultra "punchy", sans le coté résineux)</t>
  </si>
  <si>
    <t>Superdeclic</t>
  </si>
  <si>
    <t>NZ</t>
  </si>
  <si>
    <t>fruits rouges, bonbons, agrumes, fruits tropicaux, mangues mûres</t>
  </si>
  <si>
    <t>NEIPA, Hazy/Juicy IPA, Pale Ale américaine, Pale Ale</t>
  </si>
  <si>
    <t>Waimea, Citra, Mosaic</t>
  </si>
  <si>
    <t>BRU-1</t>
  </si>
  <si>
    <t>ananas, fruits blancs</t>
  </si>
  <si>
    <t>NEIPA, bières de blé, Pale Ale, IPA</t>
  </si>
  <si>
    <t>Unique</t>
  </si>
  <si>
    <t>raisin blanc, fruits tropicaux, ananas, mangue, fruit de la passion, pêche, herbal, floral</t>
  </si>
  <si>
    <t>Fruits tropicaux, arômes de mandarine, d'ananas et de mangue</t>
  </si>
  <si>
    <t>WHC</t>
  </si>
  <si>
    <t>Kveik Hornindal</t>
  </si>
  <si>
    <t>Kveik K.22 STALLJEN</t>
  </si>
  <si>
    <t xml:space="preserve"> YEASTERY </t>
  </si>
  <si>
    <t>Tropicaux puissants de mangue et d’ananas, notes secondaires d’orange et de citron.</t>
  </si>
  <si>
    <t>Kveik K.14 Eitrheim</t>
  </si>
  <si>
    <t>Arômes intenses d’abricot et de pêche, notes secondaires d’orange et d’ananas</t>
  </si>
  <si>
    <t>arômes intenses de pomme, poire, fruits tropicaux et agrumes.</t>
  </si>
  <si>
    <t>arômes d’orange, mandarine, agrumes, accompagnés de notes secondaires de fruits tropicaux et légèrement épicées.</t>
  </si>
  <si>
    <t>Kveik K.1  Voss</t>
  </si>
  <si>
    <t>Kveik K.9 Ebbegarden</t>
  </si>
  <si>
    <t>Kveik LalBrew Voss</t>
  </si>
  <si>
    <t>neutre avec de subtiles notes florales d'orange et d'agrumes</t>
  </si>
  <si>
    <t>Ajout de Houblon pendant la phase active de fementation</t>
  </si>
  <si>
    <t>Enrichit le profil aromatique en libérant des thioesters et terpènes plus complexes, apportant des notes fruitées, florales et parfois épicées plus intenses et nuancées que lors d’unDH.</t>
  </si>
  <si>
    <t>Extrait du grain téorique</t>
  </si>
  <si>
    <t>Densité théorique</t>
  </si>
  <si>
    <t>Ajustement des minéraux</t>
  </si>
  <si>
    <t>Acide lactique 80%</t>
  </si>
  <si>
    <t> Sulfate de Calcium</t>
  </si>
  <si>
    <t> Sulfate de Magnésium</t>
  </si>
  <si>
    <t> Chlorure de Calcium</t>
  </si>
  <si>
    <t> Chlorure de Sodium</t>
  </si>
  <si>
    <t> Carbonate de Calcium</t>
  </si>
  <si>
    <t> Bicarbonate de Sodium</t>
  </si>
  <si>
    <t>J5</t>
  </si>
  <si>
    <t>J7</t>
  </si>
  <si>
    <t>J1</t>
  </si>
  <si>
    <t>Libérer des précurseurs (huiles, thiols) du houblon pour développer ou intensifier certaines notes dans la bière finie avec une légère amertume.</t>
  </si>
  <si>
    <t>Ajouter le houblon juste après l’empâtage (pendant le rinçage) au moût chaud avant l'ébullition.</t>
  </si>
  <si>
    <t>Améliore l'utilisation des huiles essentielles du houblon, ajoute de l'amertume et des arômes. Amertume plus ronde et harmonieuse (que l’ajout d’amertume classique).</t>
  </si>
  <si>
    <t>Ajout de houblon au début de l'ébullition (60min)</t>
  </si>
  <si>
    <t>Ajout de houblon à mi-chemin de l'ébullition (30 à 15min avant la fin)</t>
  </si>
  <si>
    <t>Ajout de houblon vers la fin de l'ébullition. (ajout de 15 à 0 minute de couper l’ébullition)</t>
  </si>
  <si>
    <t>timing</t>
  </si>
  <si>
    <t>DDH</t>
  </si>
  <si>
    <t xml:space="preserve"> Ajout de houblon après l'ébullition, souvent pendant le whirlpool ou juste avant le refroidissement à 80°C</t>
  </si>
  <si>
    <t>BioDH</t>
  </si>
  <si>
    <t>ACTION</t>
  </si>
  <si>
    <t>Trop malté</t>
  </si>
  <si>
    <t>0-0,4</t>
  </si>
  <si>
    <t>0,4-0,6</t>
  </si>
  <si>
    <t>Très malté (German Lager)</t>
  </si>
  <si>
    <t>Malté (Porter, Altbier…)</t>
  </si>
  <si>
    <t>0,6-0,8</t>
  </si>
  <si>
    <t>Equilibré</t>
  </si>
  <si>
    <t>0,8-1,5</t>
  </si>
  <si>
    <t>1,5-2,0</t>
  </si>
  <si>
    <t>Un peu d’amertume</t>
  </si>
  <si>
    <t>2,0-4,0</t>
  </si>
  <si>
    <t>Amer (APA, IPA)</t>
  </si>
  <si>
    <t>4,0-9,0</t>
  </si>
  <si>
    <t>Très Amer (IPA, DIPA)</t>
  </si>
  <si>
    <t>9,0+</t>
  </si>
  <si>
    <t>Trop amer</t>
  </si>
  <si>
    <t>Interet</t>
  </si>
  <si>
    <t>Ajout de levure pour lancer la fermentation primaire</t>
  </si>
  <si>
    <t>Baisse en T°</t>
  </si>
  <si>
    <t>DH (Dry Hop)</t>
  </si>
  <si>
    <t>Extraction maximale d’arômes secondaires et tertiaires, développement de la complexité aromatique</t>
  </si>
  <si>
    <t>Favorise l’activité enzymatique de la levure et la libération de composés aromatiques (thiols, esters), permet l’élimination de diacétyle</t>
  </si>
  <si>
    <t>Réduction de l’activité enzymatique et de la fermentation, limite l’extraction indésirable de polyphénols et d’huiles herbacées</t>
  </si>
  <si>
    <t>Cold Crash</t>
  </si>
  <si>
    <t>Clarification et stabilisation aromatique, dépôt des particules et houblon, amélioration de la limpidité</t>
  </si>
  <si>
    <t>Protection contre l’oxydation en remplaçant l’air dans le fermenteur ou la bouteille par du CO₂</t>
  </si>
  <si>
    <t>Transfert vers un autre récipient pour séparer la bière des lies et dépôts</t>
  </si>
  <si>
    <t>Agitation / Whirlpoole léger</t>
  </si>
  <si>
    <t>Uniformisation du houblon ou du sucre ajouté, meilleure extraction aromatique</t>
  </si>
  <si>
    <t>Ajout d’adjuvants (clarifiants, enzymes)</t>
  </si>
  <si>
    <t>Amélioration de la limpidité, réduction des protéines et polyphénols, stabilisation</t>
  </si>
  <si>
    <t>Contrôle densité et pH</t>
  </si>
  <si>
    <t>Suivi de la fermentation et détection d’éventuels problèmes (diacetyl, stuck fermentation)</t>
  </si>
  <si>
    <t>Ajout de fruits ou épices</t>
  </si>
  <si>
    <t>Arômes supplémentaires et complexité aromatique, souvent après fermentation principale</t>
  </si>
  <si>
    <t>Carbonation forcée (si keg)</t>
  </si>
  <si>
    <t>Contrôle rapide et précis du niveau de CO₂ pour keg ou fût</t>
  </si>
  <si>
    <t>Filtration</t>
  </si>
  <si>
    <t>Clarification supplémentaire pour obtenir une bière limpide et stable</t>
  </si>
  <si>
    <t>Pasteurisation (optionnelle)</t>
  </si>
  <si>
    <t>Stabilisation microbiologique si embouteillage long terme</t>
  </si>
  <si>
    <t>Transfert</t>
  </si>
  <si>
    <t>Quoi faire</t>
  </si>
  <si>
    <t>Montée en T° (Diacetyl Rest)</t>
  </si>
  <si>
    <t>Hop Out + purge CO2</t>
  </si>
  <si>
    <t>Mise en bouteille après ressucrage</t>
  </si>
  <si>
    <t>Retirer la chaussette du houblon en fin de dry hop</t>
  </si>
  <si>
    <t>Resucrage</t>
  </si>
  <si>
    <t>27°C</t>
  </si>
  <si>
    <t>48h</t>
  </si>
  <si>
    <t>24h</t>
  </si>
  <si>
    <t>24-48h</t>
  </si>
  <si>
    <t>Purge CO₂</t>
  </si>
  <si>
    <t>J6</t>
  </si>
  <si>
    <t>J9</t>
  </si>
  <si>
    <t>15/12/25 matin</t>
  </si>
  <si>
    <t>17/12/2025 soir</t>
  </si>
  <si>
    <t>DH fractionné</t>
  </si>
  <si>
    <t>Extraction maximale d’arômes secondaires et tertiaires en plusieurs fois (espacé de 24h) pour éviter le hop burn</t>
  </si>
  <si>
    <t>DDH (Dry Hop final)</t>
  </si>
  <si>
    <t>Renforcement des arômes volatils et derniers ajustements aromatiques, souvent subtils. Aromes plus frais</t>
  </si>
  <si>
    <t>Suivi de la densité</t>
  </si>
  <si>
    <t>densité lue</t>
  </si>
  <si>
    <t>densité ajustée</t>
  </si>
  <si>
    <t>CHAUVIN</t>
  </si>
  <si>
    <t>Interaction houblon/levure pour ll'extraction de thiols et arômes fruités</t>
  </si>
  <si>
    <t>7g</t>
  </si>
  <si>
    <r>
      <t xml:space="preserve">Acide </t>
    </r>
    <r>
      <rPr>
        <b/>
        <sz val="11"/>
        <color theme="1"/>
        <rFont val="Aptos Narrow"/>
        <family val="2"/>
      </rPr>
      <t>α</t>
    </r>
  </si>
  <si>
    <r>
      <t xml:space="preserve">Potentiels en </t>
    </r>
    <r>
      <rPr>
        <b/>
        <sz val="11"/>
        <color theme="1"/>
        <rFont val="Calibri"/>
        <family val="2"/>
        <scheme val="minor"/>
      </rPr>
      <t>L°P/kg</t>
    </r>
  </si>
  <si>
    <t>Froment (blé malté)</t>
  </si>
  <si>
    <t>Potentiels</t>
  </si>
  <si>
    <t>Maltose / Maltodextrine</t>
  </si>
  <si>
    <t>66°C</t>
  </si>
  <si>
    <t>100°</t>
  </si>
  <si>
    <t>80°C</t>
  </si>
  <si>
    <t>2-3j à J1</t>
  </si>
  <si>
    <t>24h after DH1</t>
  </si>
  <si>
    <t>Rendement Brassam</t>
  </si>
  <si>
    <t>Rmax</t>
  </si>
  <si>
    <t>GENERALE</t>
  </si>
  <si>
    <t>Sucre ajouté</t>
  </si>
  <si>
    <t>Très pâle</t>
  </si>
  <si>
    <t>#F3F993</t>
  </si>
  <si>
    <t>Paille</t>
  </si>
  <si>
    <t>#F3F572</t>
  </si>
  <si>
    <t>Jaune clair</t>
  </si>
  <si>
    <t>#F2E18D</t>
  </si>
  <si>
    <t>Blond</t>
  </si>
  <si>
    <t>#F2D66B</t>
  </si>
  <si>
    <t>Blond foncé</t>
  </si>
  <si>
    <t>#E4B852</t>
  </si>
  <si>
    <t>Ambre clair</t>
  </si>
  <si>
    <t>#DDAE52</t>
  </si>
  <si>
    <t>Ambre</t>
  </si>
  <si>
    <t>#D29949</t>
  </si>
  <si>
    <t>Ambré foncé</t>
  </si>
  <si>
    <t>#C2853C</t>
  </si>
  <si>
    <t>Cuivré</t>
  </si>
  <si>
    <t>#A66E3A</t>
  </si>
  <si>
    <t>Marron clair</t>
  </si>
  <si>
    <t>#8E5734</t>
  </si>
  <si>
    <t>Marron</t>
  </si>
  <si>
    <t>#7C462D</t>
  </si>
  <si>
    <t>Marron foncé</t>
  </si>
  <si>
    <t>#62341F</t>
  </si>
  <si>
    <t>Très foncé</t>
  </si>
  <si>
    <t>#4C2918</t>
  </si>
  <si>
    <t>Noir léger</t>
  </si>
  <si>
    <t>#3A1D11</t>
  </si>
  <si>
    <t>Noir</t>
  </si>
  <si>
    <t>#29140C</t>
  </si>
  <si>
    <t>pale lager</t>
  </si>
  <si>
    <t>Weissbier</t>
  </si>
  <si>
    <t>Pils</t>
  </si>
  <si>
    <t>Dark lager</t>
  </si>
  <si>
    <t>porter</t>
  </si>
  <si>
    <t>Stout</t>
  </si>
  <si>
    <t>Imperial Stout</t>
  </si>
  <si>
    <t>A13700</t>
  </si>
  <si>
    <t>FFD878</t>
  </si>
  <si>
    <t>#FFBF42</t>
  </si>
  <si>
    <t>#FBB123</t>
  </si>
  <si>
    <t>#1E0204</t>
  </si>
  <si>
    <t>#FFF099</t>
  </si>
  <si>
    <t>Volumes CO₂ souhaités</t>
  </si>
  <si>
    <t>Sucre à ajouter (g/L)</t>
  </si>
  <si>
    <t>Bière blonde légère</t>
  </si>
  <si>
    <t>Bière ambrée</t>
  </si>
  <si>
    <t>Bière belge</t>
  </si>
  <si>
    <t>Type ▼</t>
  </si>
  <si>
    <t>Action ▼</t>
  </si>
  <si>
    <t>T°C ajout</t>
  </si>
  <si>
    <t>Rmax th</t>
  </si>
  <si>
    <t>DI th</t>
  </si>
  <si>
    <t>75cl -&gt;</t>
  </si>
  <si>
    <t>33cl -&gt;</t>
  </si>
  <si>
    <t>Ajout ▼</t>
  </si>
  <si>
    <t>Total DH</t>
  </si>
  <si>
    <t>Carbonatation vol CO2</t>
  </si>
  <si>
    <t>Pour éviter le hop creep on va fractionné le DH à 16°C (en vérifiant que la densité n'a pas baissé) et lancer le CC en meme temps que le DDH</t>
  </si>
  <si>
    <t xml:space="preserve">Style de la biere </t>
  </si>
  <si>
    <t>►</t>
  </si>
  <si>
    <t>après correction des minéraux</t>
  </si>
  <si>
    <r>
      <t>Cl</t>
    </r>
    <r>
      <rPr>
        <b/>
        <vertAlign val="superscript"/>
        <sz val="11"/>
        <color theme="1"/>
        <rFont val="Calibri"/>
        <family val="2"/>
        <scheme val="minor"/>
      </rPr>
      <t>-</t>
    </r>
  </si>
  <si>
    <r>
      <t>Ca</t>
    </r>
    <r>
      <rPr>
        <b/>
        <vertAlign val="superscript"/>
        <sz val="11"/>
        <color theme="1"/>
        <rFont val="Calibri"/>
        <family val="2"/>
        <scheme val="minor"/>
      </rPr>
      <t>2+</t>
    </r>
  </si>
  <si>
    <r>
      <t>SO</t>
    </r>
    <r>
      <rPr>
        <b/>
        <vertAlign val="subscript"/>
        <sz val="11"/>
        <color theme="1"/>
        <rFont val="Calibri"/>
        <family val="2"/>
        <scheme val="minor"/>
      </rPr>
      <t>4</t>
    </r>
    <r>
      <rPr>
        <b/>
        <vertAlign val="superscript"/>
        <sz val="11"/>
        <color theme="1"/>
        <rFont val="Calibri"/>
        <family val="2"/>
        <scheme val="minor"/>
      </rPr>
      <t>2-</t>
    </r>
  </si>
  <si>
    <r>
      <t>HCO</t>
    </r>
    <r>
      <rPr>
        <b/>
        <vertAlign val="subscript"/>
        <sz val="11"/>
        <color theme="1"/>
        <rFont val="Calibri"/>
        <family val="2"/>
        <scheme val="minor"/>
      </rPr>
      <t>3</t>
    </r>
    <r>
      <rPr>
        <b/>
        <vertAlign val="superscript"/>
        <sz val="11"/>
        <color theme="1"/>
        <rFont val="Calibri"/>
        <family val="2"/>
        <scheme val="minor"/>
      </rPr>
      <t>-</t>
    </r>
  </si>
  <si>
    <r>
      <t>Na</t>
    </r>
    <r>
      <rPr>
        <b/>
        <vertAlign val="superscript"/>
        <sz val="11"/>
        <color theme="1"/>
        <rFont val="Calibri"/>
        <family val="2"/>
        <scheme val="minor"/>
      </rPr>
      <t>+</t>
    </r>
  </si>
  <si>
    <r>
      <t>Mg</t>
    </r>
    <r>
      <rPr>
        <b/>
        <vertAlign val="superscript"/>
        <sz val="11"/>
        <color theme="1"/>
        <rFont val="Calibri"/>
        <family val="2"/>
        <scheme val="minor"/>
      </rPr>
      <t>2-</t>
    </r>
  </si>
  <si>
    <t>Rincage</t>
  </si>
  <si>
    <t>conversion</t>
  </si>
  <si>
    <t>ppm</t>
  </si>
  <si>
    <t>mg/L</t>
  </si>
  <si>
    <t>OG min</t>
  </si>
  <si>
    <t>OG max</t>
  </si>
  <si>
    <t>FG min</t>
  </si>
  <si>
    <t>FG max</t>
  </si>
  <si>
    <t>ABV min</t>
  </si>
  <si>
    <t>ABV max</t>
  </si>
  <si>
    <t>IBU min</t>
  </si>
  <si>
    <t>IBU max</t>
  </si>
  <si>
    <t>EBC min</t>
  </si>
  <si>
    <t>EBC max</t>
  </si>
  <si>
    <t>Ca min</t>
  </si>
  <si>
    <t>Ca max</t>
  </si>
  <si>
    <t>Mg min</t>
  </si>
  <si>
    <t>Mg max</t>
  </si>
  <si>
    <t>Na min</t>
  </si>
  <si>
    <t>Na max</t>
  </si>
  <si>
    <t>Cl min</t>
  </si>
  <si>
    <t>Cl max</t>
  </si>
  <si>
    <t>SO4 min</t>
  </si>
  <si>
    <t>SO4 max</t>
  </si>
  <si>
    <t>HCO3 min</t>
  </si>
  <si>
    <t>HCO3 max</t>
  </si>
  <si>
    <t>pH min</t>
  </si>
  <si>
    <t>pH max</t>
  </si>
  <si>
    <t>Colonne1</t>
  </si>
  <si>
    <t>Colonne2</t>
  </si>
  <si>
    <t>Colonne3</t>
  </si>
  <si>
    <t>Colonne4</t>
  </si>
  <si>
    <t>Colonne5</t>
  </si>
  <si>
    <t>Colonne6</t>
  </si>
  <si>
    <t>Colonne8</t>
  </si>
  <si>
    <t>Colonne9</t>
  </si>
  <si>
    <t>Colonne10</t>
  </si>
  <si>
    <t>Colonne11</t>
  </si>
  <si>
    <t>Colonne12</t>
  </si>
  <si>
    <t>Colonne13</t>
  </si>
  <si>
    <t>HISTORICAL</t>
  </si>
  <si>
    <t>pH empatage</t>
  </si>
  <si>
    <t>11C</t>
  </si>
  <si>
    <t>11B</t>
  </si>
  <si>
    <t>19A</t>
  </si>
  <si>
    <t>7B</t>
  </si>
  <si>
    <t>11A</t>
  </si>
  <si>
    <t>14C</t>
  </si>
  <si>
    <t>15A</t>
  </si>
  <si>
    <t>24C</t>
  </si>
  <si>
    <t>14B</t>
  </si>
  <si>
    <t>26B</t>
  </si>
  <si>
    <t>14A</t>
  </si>
  <si>
    <t>19B</t>
  </si>
  <si>
    <t>3C</t>
  </si>
  <si>
    <t>6A</t>
  </si>
  <si>
    <t>2B</t>
  </si>
  <si>
    <t>7A</t>
  </si>
  <si>
    <t>6B</t>
  </si>
  <si>
    <t>6C</t>
  </si>
  <si>
    <t>9B</t>
  </si>
  <si>
    <t>4C</t>
  </si>
  <si>
    <t>9A</t>
  </si>
  <si>
    <t>19C</t>
  </si>
  <si>
    <t>13B</t>
  </si>
  <si>
    <t>13A</t>
  </si>
  <si>
    <t>3D</t>
  </si>
  <si>
    <t>8B</t>
  </si>
  <si>
    <t>8A</t>
  </si>
  <si>
    <t>2C</t>
  </si>
  <si>
    <t>22A</t>
  </si>
  <si>
    <t>12C</t>
  </si>
  <si>
    <t>0X5</t>
  </si>
  <si>
    <t>21A</t>
  </si>
  <si>
    <t>18B</t>
  </si>
  <si>
    <t>24B</t>
  </si>
  <si>
    <t>25A</t>
  </si>
  <si>
    <t>25B</t>
  </si>
  <si>
    <t>12A</t>
  </si>
  <si>
    <t>12B</t>
  </si>
  <si>
    <t>5B</t>
  </si>
  <si>
    <t>1C</t>
  </si>
  <si>
    <t>26A</t>
  </si>
  <si>
    <t>18A</t>
  </si>
  <si>
    <t>3A</t>
  </si>
  <si>
    <t>5C</t>
  </si>
  <si>
    <t>4B</t>
  </si>
  <si>
    <t>4A</t>
  </si>
  <si>
    <t>2A</t>
  </si>
  <si>
    <t>1A</t>
  </si>
  <si>
    <t>1B</t>
  </si>
  <si>
    <t>5A</t>
  </si>
  <si>
    <t>5D</t>
  </si>
  <si>
    <t>3B</t>
  </si>
  <si>
    <t>20A</t>
  </si>
  <si>
    <t>9C</t>
  </si>
  <si>
    <t>13C</t>
  </si>
  <si>
    <t>23B</t>
  </si>
  <si>
    <t>23C</t>
  </si>
  <si>
    <t>20C</t>
  </si>
  <si>
    <t>15C</t>
  </si>
  <si>
    <t>16D</t>
  </si>
  <si>
    <t>20B</t>
  </si>
  <si>
    <t>15B</t>
  </si>
  <si>
    <t>16C</t>
  </si>
  <si>
    <t>16B</t>
  </si>
  <si>
    <t>16A</t>
  </si>
  <si>
    <t>22B</t>
  </si>
  <si>
    <t>22C</t>
  </si>
  <si>
    <t>17D</t>
  </si>
  <si>
    <t>22D</t>
  </si>
  <si>
    <t>17A</t>
  </si>
  <si>
    <t>17B</t>
  </si>
  <si>
    <t>25C</t>
  </si>
  <si>
    <t>17C</t>
  </si>
  <si>
    <t>26C</t>
  </si>
  <si>
    <t>26D</t>
  </si>
  <si>
    <t>23E</t>
  </si>
  <si>
    <t>1D</t>
  </si>
  <si>
    <t>10B</t>
  </si>
  <si>
    <t>10C</t>
  </si>
  <si>
    <t>23D</t>
  </si>
  <si>
    <t>23F</t>
  </si>
  <si>
    <t>10A</t>
  </si>
  <si>
    <t>24A</t>
  </si>
  <si>
    <t>23G</t>
  </si>
  <si>
    <t>23A</t>
  </si>
  <si>
    <t>Code (BJCP)</t>
  </si>
  <si>
    <t>SO₄/Cl min</t>
  </si>
  <si>
    <t>SO₄/Cl max</t>
  </si>
  <si>
    <t>SO₄/Cl</t>
  </si>
  <si>
    <t>Profil de l'eau</t>
  </si>
  <si>
    <t>Densité et alcool</t>
  </si>
  <si>
    <t>NEIPA / Hazy IPA</t>
  </si>
  <si>
    <t>LAGER</t>
  </si>
  <si>
    <t>en gras quand c'est vérifié</t>
  </si>
  <si>
    <t>Colonne7</t>
  </si>
  <si>
    <t xml:space="preserve">Altbier   </t>
  </si>
  <si>
    <t xml:space="preserve">American Amber Ale </t>
  </si>
  <si>
    <t xml:space="preserve">American Barleywine  </t>
  </si>
  <si>
    <t xml:space="preserve">American Brown Ale </t>
  </si>
  <si>
    <t xml:space="preserve">American IPA  </t>
  </si>
  <si>
    <t xml:space="preserve">American Lager  </t>
  </si>
  <si>
    <t xml:space="preserve">American Light Lager </t>
  </si>
  <si>
    <t xml:space="preserve">American Pale Ale </t>
  </si>
  <si>
    <t xml:space="preserve">American Porter  </t>
  </si>
  <si>
    <t xml:space="preserve">American Stout  </t>
  </si>
  <si>
    <t xml:space="preserve">American Strong Ale </t>
  </si>
  <si>
    <t xml:space="preserve">American Wheat Beer </t>
  </si>
  <si>
    <t xml:space="preserve">Australian Sparkling Ale </t>
  </si>
  <si>
    <t xml:space="preserve">Baltic Porter  </t>
  </si>
  <si>
    <t xml:space="preserve">Belgian Blond Ale </t>
  </si>
  <si>
    <t>Belgian Dark Strong Ale</t>
  </si>
  <si>
    <t xml:space="preserve">Belgian Dubbel  </t>
  </si>
  <si>
    <t>Belgian Golden Strong Ale</t>
  </si>
  <si>
    <t xml:space="preserve">Belgian Pale Ale </t>
  </si>
  <si>
    <t xml:space="preserve">Belgian Single  </t>
  </si>
  <si>
    <t xml:space="preserve">Belgian Tripel  </t>
  </si>
  <si>
    <t xml:space="preserve">Berliner Weisse  </t>
  </si>
  <si>
    <t xml:space="preserve">Best Bitter  </t>
  </si>
  <si>
    <t xml:space="preserve">Bière de Garde </t>
  </si>
  <si>
    <t xml:space="preserve">Blonde Ale  </t>
  </si>
  <si>
    <t xml:space="preserve">British Brown Ale </t>
  </si>
  <si>
    <t xml:space="preserve">British Golden Ale </t>
  </si>
  <si>
    <t xml:space="preserve">British Strong Ale </t>
  </si>
  <si>
    <t xml:space="preserve">California Common  </t>
  </si>
  <si>
    <t xml:space="preserve">Cream Ale  </t>
  </si>
  <si>
    <t xml:space="preserve">Czech Amber Lager </t>
  </si>
  <si>
    <t xml:space="preserve">Czech Dark Lager </t>
  </si>
  <si>
    <t xml:space="preserve">Czech Pale Lager </t>
  </si>
  <si>
    <t>Czech Premium Pale Lager</t>
  </si>
  <si>
    <t xml:space="preserve">Dark Mild  </t>
  </si>
  <si>
    <t xml:space="preserve">Doppelbock   </t>
  </si>
  <si>
    <t xml:space="preserve">Double IPA  </t>
  </si>
  <si>
    <t xml:space="preserve">Dunkles Bock  </t>
  </si>
  <si>
    <t xml:space="preserve">Dunkles Weissbier  </t>
  </si>
  <si>
    <t xml:space="preserve">Eisbock   </t>
  </si>
  <si>
    <t xml:space="preserve">English Barley Wine </t>
  </si>
  <si>
    <t xml:space="preserve">English IPA  </t>
  </si>
  <si>
    <t xml:space="preserve">English Porter  </t>
  </si>
  <si>
    <t xml:space="preserve">Festbier   </t>
  </si>
  <si>
    <t xml:space="preserve">Flanders Red  </t>
  </si>
  <si>
    <t xml:space="preserve">Foreign Extra Stout </t>
  </si>
  <si>
    <t xml:space="preserve">Fruit Lambic  </t>
  </si>
  <si>
    <t xml:space="preserve">German Leichtbier  </t>
  </si>
  <si>
    <t xml:space="preserve">German Pils  </t>
  </si>
  <si>
    <t xml:space="preserve">Gose   </t>
  </si>
  <si>
    <t xml:space="preserve">Gueuze   </t>
  </si>
  <si>
    <t xml:space="preserve">Helles Bock  </t>
  </si>
  <si>
    <t xml:space="preserve">Helles Exportbier  </t>
  </si>
  <si>
    <t xml:space="preserve">Imperial Stout  </t>
  </si>
  <si>
    <t xml:space="preserve">International Amber Lager </t>
  </si>
  <si>
    <t xml:space="preserve">International Dark Lager </t>
  </si>
  <si>
    <t xml:space="preserve">International Pale Lager </t>
  </si>
  <si>
    <t xml:space="preserve">Irish Extra Stout </t>
  </si>
  <si>
    <t xml:space="preserve">Irish Red Ale </t>
  </si>
  <si>
    <t xml:space="preserve">Irish Stout  </t>
  </si>
  <si>
    <t xml:space="preserve">Kölsch   </t>
  </si>
  <si>
    <t xml:space="preserve">Lambic   </t>
  </si>
  <si>
    <t xml:space="preserve">Märzen   </t>
  </si>
  <si>
    <t xml:space="preserve">Munich Dunkel  </t>
  </si>
  <si>
    <t xml:space="preserve">Munich Helles  </t>
  </si>
  <si>
    <t xml:space="preserve">New Zealand lager </t>
  </si>
  <si>
    <t xml:space="preserve">Oatmeal Stout  </t>
  </si>
  <si>
    <t xml:space="preserve">Old Ale  </t>
  </si>
  <si>
    <t xml:space="preserve">Ordinary Bitter  </t>
  </si>
  <si>
    <t xml:space="preserve">Oud Bruin  </t>
  </si>
  <si>
    <t xml:space="preserve">Rauchbier   </t>
  </si>
  <si>
    <t xml:space="preserve">Saison   </t>
  </si>
  <si>
    <t xml:space="preserve">Schwarzbier   </t>
  </si>
  <si>
    <t xml:space="preserve">Scottish Export  </t>
  </si>
  <si>
    <t xml:space="preserve">Scottish Heavy  </t>
  </si>
  <si>
    <t xml:space="preserve">Scottish Light  </t>
  </si>
  <si>
    <t xml:space="preserve">Strong Bitter  </t>
  </si>
  <si>
    <t xml:space="preserve">Sweet Stout  </t>
  </si>
  <si>
    <t xml:space="preserve">Tropical Stout  </t>
  </si>
  <si>
    <t xml:space="preserve">Vienna Lager  </t>
  </si>
  <si>
    <t xml:space="preserve">Wee Heavy  </t>
  </si>
  <si>
    <t xml:space="preserve">Weissbier   </t>
  </si>
  <si>
    <t xml:space="preserve">Weizenbock   </t>
  </si>
  <si>
    <t xml:space="preserve">Wheatwine   </t>
  </si>
  <si>
    <t xml:space="preserve">Witbier   </t>
  </si>
  <si>
    <t>Whirpool (80°C) 15min</t>
  </si>
  <si>
    <t>J10</t>
  </si>
  <si>
    <t>J12</t>
  </si>
  <si>
    <t>3J</t>
  </si>
  <si>
    <t>J15</t>
  </si>
  <si>
    <t>4°C</t>
  </si>
  <si>
    <t>J17</t>
  </si>
  <si>
    <t>DUVEL 40ans</t>
  </si>
  <si>
    <t>4,5g</t>
  </si>
  <si>
    <t>à 15min de la fin de l'ébulition</t>
  </si>
  <si>
    <t>La Duvel est une biere brassage de 90 jours</t>
  </si>
  <si>
    <t>7 jours en fermentation primaire à 20°C</t>
  </si>
  <si>
    <t>7 jours +/- pour arriver a la densité finale de 1.007</t>
  </si>
  <si>
    <t>2 jours au alentours de 0°C (ideal -2°) (etape de sedimentation / eclaicir)</t>
  </si>
  <si>
    <t>Mise en bouteille (avec ajout de sucre 7gr par litre)</t>
  </si>
  <si>
    <t>2 semaines à 24°C (Carbonatation / bulles)</t>
  </si>
  <si>
    <t>60 jours en cave entre 8 et 12 °C (Garde / affinement)</t>
  </si>
  <si>
    <t>J14</t>
  </si>
  <si>
    <t>Garde en bouteille / affinement</t>
  </si>
  <si>
    <t>1 - Palier protéique</t>
  </si>
  <si>
    <t>2 - Saccharification</t>
  </si>
  <si>
    <t>3 - Mash step</t>
  </si>
  <si>
    <t>4 - Mash-out</t>
  </si>
  <si>
    <t>Mangue, fruits à noyaux.
Hydra est un nouvel hybride génétique de deux des souches préférées d'Escarpment (Cerberus x Vermont). La levure Hydra offre une atténuation plus faible (65-72%) pour une saveur plus juteuse couplée à des arômes puissants de mangue et d'agrumes. Elle convient aux bières houblonnées et trouble, des Sessions aux DIPA.
L'atténuation plus faible peut aider à combattre l'atténuation élevée inattendue résultant de la progression du houblon, qui donne lieu à des NEIPA déséquilibrées.</t>
  </si>
  <si>
    <t>NEIPA, APA, Session</t>
  </si>
  <si>
    <t>WLP618 NA All Day</t>
  </si>
  <si>
    <t>Non-Alcoholic/Low Alcohol Beer</t>
  </si>
  <si>
    <t>2-5%</t>
  </si>
  <si>
    <t>Escarpement</t>
  </si>
  <si>
    <t>Hydra</t>
  </si>
  <si>
    <t>Fruity Witbier</t>
  </si>
  <si>
    <t>Fruits rouges, floral, épices à pâtisserie
Une souche unique de Witbier avec des esters de baies.
Légèrement plus fruitée que la Wit classique, sa floculation moyenne à faible permet d'obtenir le trouble classique de la Witbier. En plus de la Witbier, elle peut également être utilisée dans d'autres styles belges.</t>
  </si>
  <si>
    <t>Witbier
Belgian Blond Ale</t>
  </si>
  <si>
    <t>DUVEL
Belgian Dark Strong Ale
Belgian Dubbel
Belgian Pale Ale
Belgian Tripel
Saison</t>
  </si>
  <si>
    <t>Important not to add the sugars to the mash or the yeast will prefer the simple sugars and you won't get that really dry Belgian characteristics. Allow the first fermentation to die down, then add the sugars in batches - just when you thought the yeast were asleep they'll have a complete uprising. Start the ferment at 17-18c, but let it rise naturally after the first 2 days up to 23-24c. Those higher alcohols will bring out the aroma.</t>
  </si>
  <si>
    <t>J4</t>
  </si>
  <si>
    <t>J20</t>
  </si>
  <si>
    <t>J22</t>
  </si>
  <si>
    <t>Ne pas hésiter à empater plus que  90min pour bien tout extraire</t>
  </si>
  <si>
    <r>
      <t xml:space="preserve">Brancher le fût sur une </t>
    </r>
    <r>
      <rPr>
        <b/>
        <sz val="11"/>
        <color theme="1"/>
        <rFont val="Calibri"/>
        <family val="2"/>
        <scheme val="minor"/>
      </rPr>
      <t>bouteille de CO₂ avec régulateur</t>
    </r>
    <r>
      <rPr>
        <sz val="11"/>
        <color theme="1"/>
        <rFont val="Calibri"/>
        <family val="2"/>
        <scheme val="minor"/>
      </rPr>
      <t>.</t>
    </r>
  </si>
  <si>
    <t>Laisser le CO₂ s’injecter dans le fût :</t>
  </si>
  <si>
    <r>
      <t xml:space="preserve">Secouer doucement le fût toutes les 12–24 h pour </t>
    </r>
    <r>
      <rPr>
        <b/>
        <sz val="11"/>
        <color theme="1"/>
        <rFont val="Calibri"/>
        <family val="2"/>
        <scheme val="minor"/>
      </rPr>
      <t>aider le CO₂ à se dissoudre</t>
    </r>
    <r>
      <rPr>
        <sz val="11"/>
        <color theme="1"/>
        <rFont val="Calibri"/>
        <family val="2"/>
        <scheme val="minor"/>
      </rPr>
      <t>.</t>
    </r>
  </si>
  <si>
    <r>
      <t xml:space="preserve">Durée : </t>
    </r>
    <r>
      <rPr>
        <b/>
        <sz val="11"/>
        <color theme="1"/>
        <rFont val="Calibri"/>
        <family val="2"/>
        <scheme val="minor"/>
      </rPr>
      <t>7–10 jours à 4–8 °C</t>
    </r>
    <r>
      <rPr>
        <sz val="11"/>
        <color theme="1"/>
        <rFont val="Calibri"/>
        <family val="2"/>
        <scheme val="minor"/>
      </rPr>
      <t xml:space="preserve"> pour atteindre saturation complète.</t>
    </r>
  </si>
  <si>
    <t>pour la carbonation (chatGPT)</t>
  </si>
  <si>
    <t>Maintenir la pression pour le service</t>
  </si>
  <si>
    <r>
      <t xml:space="preserve">1. Une fois le fût saturé (~2,3 vols), réduire la pression du régulateur à </t>
    </r>
    <r>
      <rPr>
        <b/>
        <sz val="11"/>
        <color theme="1"/>
        <rFont val="Calibri"/>
        <family val="2"/>
        <scheme val="minor"/>
      </rPr>
      <t>≈1,2–1,3 bar à 4–8 °C</t>
    </r>
    <r>
      <rPr>
        <sz val="11"/>
        <color theme="1"/>
        <rFont val="Calibri"/>
        <family val="2"/>
        <scheme val="minor"/>
      </rPr>
      <t>.</t>
    </r>
  </si>
  <si>
    <t>Cela suffit à pousser la bière vers le robinet.</t>
  </si>
  <si>
    <t>La bière restera carbonatée sans créer trop de mousse.</t>
  </si>
  <si>
    <r>
      <t xml:space="preserve">2. Si le fût est à température ambiante (~20 °C), régler la pression à </t>
    </r>
    <r>
      <rPr>
        <b/>
        <sz val="11"/>
        <color theme="1"/>
        <rFont val="Calibri"/>
        <family val="2"/>
        <scheme val="minor"/>
      </rPr>
      <t>≈2,0 bar</t>
    </r>
    <r>
      <rPr>
        <sz val="11"/>
        <color theme="1"/>
        <rFont val="Calibri"/>
        <family val="2"/>
        <scheme val="minor"/>
      </rPr>
      <t xml:space="preserve"> pour maintenir le même niveau de CO₂.</t>
    </r>
  </si>
  <si>
    <t>3. Pendant le service :</t>
  </si>
  <si>
    <t>Tirer la bière lentement → mousse fine et sta</t>
  </si>
  <si>
    <t>2,5 vols CO₂ (~44g pour 9 L)</t>
  </si>
  <si>
    <r>
      <t xml:space="preserve">Régler la pression : </t>
    </r>
    <r>
      <rPr>
        <b/>
        <sz val="11"/>
        <color theme="1"/>
        <rFont val="Calibri"/>
        <family val="2"/>
        <scheme val="minor"/>
      </rPr>
      <t>≈2,0-2,2 bar à 20 °C</t>
    </r>
    <r>
      <rPr>
        <sz val="11"/>
        <color theme="1"/>
        <rFont val="Calibri"/>
        <family val="2"/>
        <scheme val="minor"/>
      </rPr>
      <t xml:space="preserve"> (ou ~2 bar si le fût est déjà très froid).</t>
    </r>
  </si>
  <si>
    <t>Sécurité</t>
  </si>
  <si>
    <r>
      <t xml:space="preserve">Ne jamais laisser une cartouche Sodastream branchée </t>
    </r>
    <r>
      <rPr>
        <b/>
        <sz val="11"/>
        <color theme="1"/>
        <rFont val="Calibri"/>
        <family val="2"/>
        <scheme val="minor"/>
      </rPr>
      <t>directement et en continu</t>
    </r>
    <r>
      <rPr>
        <sz val="11"/>
        <color theme="1"/>
        <rFont val="Calibri"/>
        <family val="2"/>
        <scheme val="minor"/>
      </rPr>
      <t xml:space="preserve"> sur un fût.</t>
    </r>
  </si>
  <si>
    <r>
      <t xml:space="preserve">Toujours utiliser un </t>
    </r>
    <r>
      <rPr>
        <b/>
        <sz val="11"/>
        <color theme="1"/>
        <rFont val="Calibri"/>
        <family val="2"/>
        <scheme val="minor"/>
      </rPr>
      <t>régulateur approprié pour bière/fût</t>
    </r>
    <r>
      <rPr>
        <sz val="11"/>
        <color theme="1"/>
        <rFont val="Calibri"/>
        <family val="2"/>
        <scheme val="minor"/>
      </rPr>
      <t>.</t>
    </r>
  </si>
  <si>
    <r>
      <t xml:space="preserve">On peu carbonater environ </t>
    </r>
    <r>
      <rPr>
        <b/>
        <sz val="11"/>
        <color theme="1"/>
        <rFont val="Calibri"/>
        <family val="2"/>
        <scheme val="minor"/>
      </rPr>
      <t>8 à 9 fûts de 9 L</t>
    </r>
    <r>
      <rPr>
        <sz val="11"/>
        <color theme="1"/>
        <rFont val="Calibri"/>
        <family val="2"/>
        <scheme val="minor"/>
      </rPr>
      <t xml:space="preserve"> avec une seule cartouche sodastream (410g de CO2).</t>
    </r>
  </si>
  <si>
    <r>
      <t xml:space="preserve">Avec le </t>
    </r>
    <r>
      <rPr>
        <b/>
        <sz val="11"/>
        <color theme="1"/>
        <rFont val="Calibri"/>
        <family val="2"/>
        <scheme val="minor"/>
      </rPr>
      <t>régulateur</t>
    </r>
    <r>
      <rPr>
        <sz val="11"/>
        <color theme="1"/>
        <rFont val="Calibri"/>
        <family val="2"/>
        <scheme val="minor"/>
      </rPr>
      <t>, on injecte progressivement la pression nécessaire dans le fût, de manière ponctuelle (1–2 fois par jour) jusqu’à atteindre le niveau de carbonatation souhaité.</t>
    </r>
  </si>
  <si>
    <t>la bière contient déjà du CO₂ résiduel de fermentation</t>
  </si>
  <si>
    <t>une partie du CO₂ sert à pressuriser l’espace de tête (headspace)</t>
  </si>
  <si>
    <t>il y a des pertes</t>
  </si>
  <si>
    <t>En pratique :</t>
  </si>
  <si>
    <r>
      <t xml:space="preserve">CO₂ résiduel ≈ </t>
    </r>
    <r>
      <rPr>
        <b/>
        <sz val="11"/>
        <color theme="1"/>
        <rFont val="Calibri"/>
        <family val="2"/>
        <scheme val="minor"/>
      </rPr>
      <t>0,8–1,0 vol</t>
    </r>
  </si>
  <si>
    <r>
      <t xml:space="preserve">CO₂ à ajouter ≈ </t>
    </r>
    <r>
      <rPr>
        <b/>
        <sz val="11"/>
        <color theme="1"/>
        <rFont val="Calibri"/>
        <family val="2"/>
        <scheme val="minor"/>
      </rPr>
      <t>1,5–1,7 vols</t>
    </r>
  </si>
  <si>
    <r>
      <t xml:space="preserve">👉 9 L × 1,6 vols × 1,96 ≈ </t>
    </r>
    <r>
      <rPr>
        <b/>
        <sz val="11"/>
        <color theme="1"/>
        <rFont val="Calibri"/>
        <family val="2"/>
        <scheme val="minor"/>
      </rPr>
      <t>28 g</t>
    </r>
  </si>
  <si>
    <r>
      <t xml:space="preserve">👉 + pertes &amp; service → </t>
    </r>
    <r>
      <rPr>
        <b/>
        <sz val="11"/>
        <color theme="1"/>
        <rFont val="Calibri"/>
        <family val="2"/>
        <scheme val="minor"/>
      </rPr>
      <t>30–35 g injectés</t>
    </r>
  </si>
  <si>
    <t>On peut aussi faire ca avec environ 3 petites cartouches de 16g</t>
  </si>
  <si>
    <r>
      <t xml:space="preserve">✔ Oui, tu peux </t>
    </r>
    <r>
      <rPr>
        <b/>
        <sz val="11"/>
        <color theme="1"/>
        <rFont val="Calibri"/>
        <family val="2"/>
        <scheme val="minor"/>
      </rPr>
      <t>garder ta bière plate plusieurs mois</t>
    </r>
  </si>
  <si>
    <r>
      <t xml:space="preserve">✔ Oui, tu peux la </t>
    </r>
    <r>
      <rPr>
        <b/>
        <sz val="11"/>
        <color theme="1"/>
        <rFont val="Calibri"/>
        <family val="2"/>
        <scheme val="minor"/>
      </rPr>
      <t>recarbonater quand tu veux</t>
    </r>
  </si>
  <si>
    <r>
      <t xml:space="preserve">✔ Oui, même </t>
    </r>
    <r>
      <rPr>
        <b/>
        <sz val="11"/>
        <color theme="1"/>
        <rFont val="Calibri"/>
        <family val="2"/>
        <scheme val="minor"/>
      </rPr>
      <t>une ou deux fois</t>
    </r>
    <r>
      <rPr>
        <sz val="11"/>
        <color theme="1"/>
        <rFont val="Calibri"/>
        <family val="2"/>
        <scheme val="minor"/>
      </rPr>
      <t xml:space="preserve"> sans souci</t>
    </r>
  </si>
  <si>
    <t>❌ Ne pas stocker longtemps sous pression dans un mini-keg</t>
  </si>
  <si>
    <t>❌ Éviter les cycles pression ↔ dépression répétés</t>
  </si>
  <si>
    <t>Je mettrais donc en garde et carbonatrais plus tard le moment venu</t>
  </si>
  <si>
    <t>2-3 semaines avant</t>
  </si>
  <si>
    <t>10j</t>
  </si>
  <si>
    <t>60j min</t>
  </si>
  <si>
    <t>pour les bouteilles</t>
  </si>
  <si>
    <t>Bien oxygener pour que l'action des levures soit efficace (bonne attenuation)</t>
  </si>
  <si>
    <t>ajouter 300g du candi à 15-30min de la fin de l'ébullition</t>
  </si>
  <si>
    <t>380g</t>
  </si>
  <si>
    <t>Stockage</t>
  </si>
  <si>
    <r>
      <t>P</t>
    </r>
    <r>
      <rPr>
        <b/>
        <sz val="11"/>
        <color theme="1"/>
        <rFont val="Calibri"/>
        <family val="2"/>
        <scheme val="minor"/>
      </rPr>
      <t>as besoin d’injecter 44 g</t>
    </r>
    <r>
      <rPr>
        <sz val="11"/>
        <color theme="1"/>
        <rFont val="Calibri"/>
        <family val="2"/>
        <scheme val="minor"/>
      </rPr>
      <t>, car :</t>
    </r>
  </si>
  <si>
    <t>ensemencer vers 20-25°C et laisser monter tranquillement à 27°C.
Je me suis gourré, j'ai mis la levure à 31° mais abaissé rapidement à 27° en 1h</t>
  </si>
  <si>
    <t>17/01/2026 soir</t>
  </si>
  <si>
    <t>18/01 midi</t>
  </si>
  <si>
    <t>19/01/26 soir</t>
  </si>
  <si>
    <t>J2</t>
  </si>
  <si>
    <t>36h</t>
  </si>
  <si>
    <t>Ajout de sucre pendant la frmentation ou avant embouteillage pour carbonatation contrôlée</t>
  </si>
  <si>
    <t>Carotte</t>
  </si>
  <si>
    <t>carotte rapés puis roties à 180°C en whirpool à 85°C</t>
  </si>
  <si>
    <t>Préparation carotte</t>
  </si>
  <si>
    <t>1. Éplucher</t>
  </si>
  <si>
    <t>2. Râper fin ou moyen</t>
  </si>
  <si>
    <t>3. Étaler en couche fine sur plaque</t>
  </si>
  <si>
    <r>
      <t xml:space="preserve">4. Four </t>
    </r>
    <r>
      <rPr>
        <b/>
        <sz val="11"/>
        <color theme="1"/>
        <rFont val="Calibri"/>
        <family val="2"/>
        <scheme val="minor"/>
      </rPr>
      <t>180–200 °C</t>
    </r>
  </si>
  <si>
    <t>5. 30–40 min</t>
  </si>
  <si>
    <t>remuer 1–2 fois</t>
  </si>
  <si>
    <t>6. Stop quand :</t>
  </si>
  <si>
    <t>couleur orangé foncé</t>
  </si>
  <si>
    <t>légère caramélisation</t>
  </si>
  <si>
    <t>pas brun foncé</t>
  </si>
  <si>
    <t>15–20 min</t>
  </si>
  <si>
    <t>Dans un sac à houblon (recommandé)</t>
  </si>
  <si>
    <t>Puis retirer</t>
  </si>
  <si>
    <r>
      <t xml:space="preserve">7.  Mettre les carottes </t>
    </r>
    <r>
      <rPr>
        <b/>
        <sz val="11"/>
        <color theme="1"/>
        <rFont val="Calibri"/>
        <family val="2"/>
        <scheme val="minor"/>
      </rPr>
      <t>directement dans le moût à 80 °C</t>
    </r>
  </si>
  <si>
    <t>Amertume douce : 18–22 IBU</t>
  </si>
  <si>
    <t>1 seul ajout en début d’ébullition</t>
  </si>
  <si>
    <t>Petit whirlpool possible, mais discret</t>
  </si>
  <si>
    <r>
      <t>Pas de dry hop</t>
    </r>
    <r>
      <rPr>
        <sz val="11"/>
        <color theme="1"/>
        <rFont val="Calibri"/>
        <family val="2"/>
        <scheme val="minor"/>
      </rPr>
      <t xml:space="preserve"> ou très léger</t>
    </r>
  </si>
  <si>
    <t>ananas, groseille, raisin blanc, citronnelle fraîche, fruit de la passion, cassis, herbe</t>
  </si>
  <si>
    <t>IPA, bière belge, bière de blé, Brett, Pale Ale</t>
  </si>
  <si>
    <t>Barbe Rouge</t>
  </si>
  <si>
    <t>bière belge, ambrée, Pilsner, Bière de Garde, Pale Ale, Black IPA, Porter, Saison</t>
  </si>
  <si>
    <t>fruits rouges (fraise, cerise, groseille, framboise), agrumes (orange, citron vert)</t>
  </si>
  <si>
    <t>Carrot Wheat beer</t>
  </si>
  <si>
    <t>carottes rapés en empatage</t>
  </si>
  <si>
    <t>Ecorces de riz (Rice Hull)</t>
  </si>
  <si>
    <t>Les cosses de riz sont un moyen naturel et facile d’aider à prévenir un empâtement compacté ”stock mash”</t>
  </si>
  <si>
    <t>Ecorces de riz (rice hull)</t>
  </si>
  <si>
    <t>un peu plus enzymatique</t>
  </si>
  <si>
    <t>plus “grain”, moins propre</t>
  </si>
  <si>
    <t>parfois un peu plus biscuit</t>
  </si>
  <si>
    <t>très clean</t>
  </si>
  <si>
    <t>légèrement plus coloré</t>
  </si>
  <si>
    <t>compromis</t>
  </si>
  <si>
    <t>rond, belge, doux</t>
  </si>
  <si>
    <t>boost malté (type décoction)</t>
  </si>
  <si>
    <t>base expressive anglaise</t>
  </si>
  <si>
    <t>Pas vraiment “base”, mais pas caramel non plus. À utiliser comme signature, pas comme base interchangeable</t>
  </si>
  <si>
    <t>quasi pas de goût</t>
  </si>
  <si>
    <t>léger miel</t>
  </si>
  <si>
    <t>plus de mousse</t>
  </si>
  <si>
    <t>plus sucré</t>
  </si>
  <si>
    <t>2️⃣ MALTS CARAMEL</t>
  </si>
  <si>
    <t>1️⃣ MALTS DE BASE</t>
  </si>
  <si>
    <t>3️⃣ MALTS TORRÉFIÉS</t>
  </si>
  <si>
    <t>4️⃣ FLOCONS &amp; NON MALTÉS</t>
  </si>
  <si>
    <t>texture</t>
  </si>
  <si>
    <t>sècheresse</t>
  </si>
  <si>
    <t>neutre. Texture, légère rondeur, mousse</t>
  </si>
  <si>
    <t>Malt spécial de structure (protéines / mousse)</t>
  </si>
  <si>
    <t>Malt Diastasique</t>
  </si>
  <si>
    <t>Malt très peu coloré. Très fort pouvoir diastasique. Profil aromatique quasi neutre.
empâtages chargés en flocons
céréales non maltées
bières modernes (NEIPA, wheat, cold IPA…)</t>
  </si>
  <si>
    <t>Purement technique. Aide à l'empatage en créant de la porosité</t>
  </si>
  <si>
    <t>apporte du malté en plus</t>
  </si>
  <si>
    <t>Peut vite apporter un côté caramel lourd / toffee</t>
  </si>
  <si>
    <t>Un malt extrêmement riche en enzymes
très peu coloré, très peu aromatique
parfois même sous-modifié volontairement, Son but n’est PAS le goût.</t>
  </si>
  <si>
    <t>Type chimique</t>
  </si>
  <si>
    <t>Fermentabilité</t>
  </si>
  <si>
    <t>Effet bière</t>
  </si>
  <si>
    <t>Glucose (dextrose)</t>
  </si>
  <si>
    <t>Fermentation très rapide, sèche</t>
  </si>
  <si>
    <t>Fructose</t>
  </si>
  <si>
    <t>Très fermentescible, perçu plus “chaud”</t>
  </si>
  <si>
    <t>Saccharose</t>
  </si>
  <si>
    <t>100 % (après inversion)</t>
  </si>
  <si>
    <t>Sec, neutre</t>
  </si>
  <si>
    <t>Fermentation facile, parfois plus “ronde”</t>
  </si>
  <si>
    <t>Maltose</t>
  </si>
  <si>
    <t>Fermentation classique bière</t>
  </si>
  <si>
    <t>Maltodextrines</t>
  </si>
  <si>
    <t>0–20 %</t>
  </si>
  <si>
    <t>Corps, douceur résiduelle</t>
  </si>
  <si>
    <t>Lactose</t>
  </si>
  <si>
    <t>Douceur permanente</t>
  </si>
  <si>
    <t>Sucre blanc</t>
  </si>
  <si>
    <t>Raffiné</t>
  </si>
  <si>
    <t>Sucre de canne blond</t>
  </si>
  <si>
    <t>Impuretés + couleur</t>
  </si>
  <si>
    <t>Sucre de canne foncé</t>
  </si>
  <si>
    <t>Très coloré</t>
  </si>
  <si>
    <t>Cassonade blonde</t>
  </si>
  <si>
    <t>Saccharose + mélasse</t>
  </si>
  <si>
    <t>Arôme léger</t>
  </si>
  <si>
    <t>Cassonade foncée</t>
  </si>
  <si>
    <t>Arôme marqué</t>
  </si>
  <si>
    <t>Remarque</t>
  </si>
  <si>
    <t>Sucre inverti</t>
  </si>
  <si>
    <t>Neutre</t>
  </si>
  <si>
    <t>+ produits de Maillard</t>
  </si>
  <si>
    <t>Dextrose / sucre de brassage</t>
  </si>
  <si>
    <t>Glucose pur</t>
  </si>
  <si>
    <t>Fermentation ultra rapide</t>
  </si>
  <si>
    <r>
      <t xml:space="preserve">Bière </t>
    </r>
    <r>
      <rPr>
        <b/>
        <sz val="11"/>
        <color theme="1"/>
        <rFont val="Calibri"/>
        <family val="2"/>
        <scheme val="minor"/>
      </rPr>
      <t>plus sèche</t>
    </r>
    <r>
      <rPr>
        <sz val="11"/>
        <color theme="1"/>
        <rFont val="Calibri"/>
        <family val="2"/>
        <scheme val="minor"/>
      </rPr>
      <t>, corps plus fin</t>
    </r>
  </si>
  <si>
    <t>sucre de malt</t>
  </si>
  <si>
    <t>Maltodextrine</t>
  </si>
  <si>
    <t>chaînes longues</t>
  </si>
  <si>
    <t>mélange</t>
  </si>
  <si>
    <t>partielle</t>
  </si>
  <si>
    <t>Sirop d’érable</t>
  </si>
  <si>
    <t>Majoritairement saccharose</t>
  </si>
  <si>
    <t>Un peu d’arômes résiduels</t>
  </si>
  <si>
    <t>Mélasse</t>
  </si>
  <si>
    <t>Saccharose + minéraux + composés non fermentescibles</t>
  </si>
  <si>
    <t>~40 % fructose
~30 % glucose
~20 % eau + traces</t>
  </si>
  <si>
    <t>maltose + dextrines + protéines</t>
  </si>
  <si>
    <t>4️⃣ Famille SUCRE DE MALT / MALTODEXTRINES</t>
  </si>
  <si>
    <t xml:space="preserve"> glucose + galactose</t>
  </si>
  <si>
    <t>Fermente presque totalement.  Arôme très volatil (souvent surestimé)</t>
  </si>
  <si>
    <t>À part, très marquée</t>
  </si>
  <si>
    <r>
      <t>Sucres invertis</t>
    </r>
    <r>
      <rPr>
        <sz val="12"/>
        <color theme="1"/>
        <rFont val="Calibri"/>
        <family val="2"/>
        <scheme val="minor"/>
      </rPr>
      <t xml:space="preserve"> (glucose + fructose)</t>
    </r>
  </si>
  <si>
    <t>sucre issu de l’hydrolyse du saccharose en glucose et fructose (par chauffage et acidification). Très fermentescible, il permet d’augmenter la densité initiale tout en allégeant le corps de la bière et en favorisant une finale sèche. Utilisé fréquemment dans les bières belges pour atteindre des degrés élevés sans lourdeur maltée. La version claire n’apporte que peu de couleur ni d’arômes, tandis que les versions ambrées ou foncées peuvent apporter des notes de caramel, miel ou rhum.</t>
  </si>
  <si>
    <t>Monosaccharide directement assimilable par la levure. Totalement fermentescible, il augmente la densité et l’alcool sans apporter de couleur ni de saveur, tout en allégeant le corps et en évitant les arômes indésirables (cidres) parfois associés aux sucres domestiques.</t>
  </si>
  <si>
    <t>Mélange de sucres simples (glucose, fructose, saccharose) et de composés non fermentescibles. Majoritairement fermentescibles, ils augmentent l’alcool tout en apportant des arômes caractéristiques et une légère rondeur résiduelle selon le produit et le taux d’utilisatio</t>
  </si>
  <si>
    <t>Disaccharide non fermentescible par les levures de bière. Apporte une douceur résiduelle, de l’onctuosité et du corps, et reste dans la bière finale. Utilisé pour équilibrer l’amertume et créer des styles à texture crémeuse comme les Milk Stout</t>
  </si>
  <si>
    <t>Ce ne sont PAS des “sucres” au sens brassicole. Extrait concentré de moût de malt contenant un mélange de sucres fermentescibles (maltose, glucose) et non fermentescibles (dextrines). Augmente la densité, le corps et la couleur selon la version, tout en conservant un profil malté proche d’un brassage tout grain.</t>
  </si>
  <si>
    <t>Mélange de chaînes de glucose issues du malt, partiellement ou non fermentescibles selon leur longueur. Apportent du corps, de la rondeur et de la tenue de mousse, avec peu ou pas d’impact sur l’alcool. Utilisées pour renforcer la texture et l’équilibre sans augmenter la sécheresse.</t>
  </si>
  <si>
    <t>Potentiels en L°P/kg</t>
  </si>
  <si>
    <r>
      <t>Rôle</t>
    </r>
    <r>
      <rPr>
        <sz val="11"/>
        <color theme="1"/>
        <rFont val="Calibri"/>
        <family val="2"/>
        <scheme val="minor"/>
      </rPr>
      <t xml:space="preserve"> : base neutre, fermentescible, propre</t>
    </r>
    <r>
      <rPr>
        <b/>
        <sz val="11"/>
        <color theme="1"/>
        <rFont val="Calibri"/>
        <family val="2"/>
        <scheme val="minor"/>
      </rPr>
      <t xml:space="preserve">. 
Utilisation : </t>
    </r>
    <r>
      <rPr>
        <sz val="11"/>
        <color theme="1"/>
        <rFont val="Calibri"/>
        <family val="2"/>
        <scheme val="minor"/>
      </rPr>
      <t>base claire, saisons, wheat, IPA légères</t>
    </r>
  </si>
  <si>
    <r>
      <t>Rôle</t>
    </r>
    <r>
      <rPr>
        <sz val="11"/>
        <color theme="1"/>
        <rFont val="Calibri"/>
        <family val="2"/>
        <scheme val="minor"/>
      </rPr>
      <t xml:space="preserve"> : base avec un peu plus de caractère que Pils</t>
    </r>
    <r>
      <rPr>
        <b/>
        <sz val="11"/>
        <color theme="1"/>
        <rFont val="Calibri"/>
        <family val="2"/>
        <scheme val="minor"/>
      </rPr>
      <t>.</t>
    </r>
    <r>
      <rPr>
        <sz val="11"/>
        <color theme="1"/>
        <rFont val="Calibri"/>
        <family val="2"/>
        <scheme val="minor"/>
      </rPr>
      <t xml:space="preserve"> 
Base parfaite si tu veux un peu plus de corps sans aller vers Munich</t>
    </r>
  </si>
  <si>
    <r>
      <t>Rôle</t>
    </r>
    <r>
      <rPr>
        <sz val="11"/>
        <color theme="1"/>
        <rFont val="Calibri"/>
        <family val="2"/>
        <scheme val="minor"/>
      </rPr>
      <t xml:space="preserve"> : soutien malté léger, couleur orangée</t>
    </r>
  </si>
  <si>
    <r>
      <t>Rôle</t>
    </r>
    <r>
      <rPr>
        <sz val="11"/>
        <color theme="1"/>
        <rFont val="Calibri"/>
        <family val="2"/>
        <scheme val="minor"/>
      </rPr>
      <t xml:space="preserve"> : malté, pain, structure</t>
    </r>
  </si>
  <si>
    <r>
      <t>Rôle</t>
    </r>
    <r>
      <rPr>
        <sz val="11"/>
        <color theme="1"/>
        <rFont val="Calibri"/>
        <family val="2"/>
        <scheme val="minor"/>
      </rPr>
      <t xml:space="preserve"> : mousse, texture, trouble</t>
    </r>
  </si>
  <si>
    <r>
      <t>Rôle</t>
    </r>
    <r>
      <rPr>
        <sz val="11"/>
        <color theme="1"/>
        <rFont val="Calibri"/>
        <family val="2"/>
        <scheme val="minor"/>
      </rPr>
      <t xml:space="preserve"> : rondeur, corps, mousse</t>
    </r>
  </si>
  <si>
    <r>
      <t>Rôle</t>
    </r>
    <r>
      <rPr>
        <sz val="11"/>
        <color theme="1"/>
        <rFont val="Calibri"/>
        <family val="2"/>
        <scheme val="minor"/>
      </rPr>
      <t xml:space="preserve"> : sucre, rondeur, couleur</t>
    </r>
  </si>
  <si>
    <r>
      <t>Rôle</t>
    </r>
    <r>
      <rPr>
        <sz val="11"/>
        <color theme="1"/>
        <rFont val="Calibri"/>
        <family val="2"/>
        <scheme val="minor"/>
      </rPr>
      <t xml:space="preserve"> : fruits secs, caramel intense</t>
    </r>
  </si>
  <si>
    <r>
      <t>à part</t>
    </r>
    <r>
      <rPr>
        <sz val="11"/>
        <color theme="1"/>
        <rFont val="Calibri"/>
        <family val="2"/>
        <scheme val="minor"/>
      </rPr>
      <t xml:space="preserve"> (très marqué)</t>
    </r>
  </si>
  <si>
    <t>① Famille VIENNA</t>
  </si>
  <si>
    <t>③ NOIR</t>
  </si>
  <si>
    <t>③ CHOCOLAT</t>
  </si>
  <si>
    <t>③ CAFÉ</t>
  </si>
  <si>
    <r>
      <t xml:space="preserve">Disaccharide composé de glucose et de fructose. Rapidement hydrolysé par la levure en sucres simples fermentescibles (inversion: saccharose→glucose+fructose). Utilisé pour augmenter la densité du moût et le degré alcoolique sans apporter de corps ni d’arômes marqués, ce qui allège la bière et favorise une finale plus sèche. </t>
    </r>
    <r>
      <rPr>
        <b/>
        <sz val="11"/>
        <color theme="1"/>
        <rFont val="Calibri"/>
        <family val="2"/>
        <scheme val="minor"/>
      </rPr>
      <t>Utiliser en ressucrage</t>
    </r>
  </si>
  <si>
    <t>1️⃣ SACCHAROSE</t>
  </si>
  <si>
    <t>2️⃣  SUCRE INVERTI (Glucose + fructose)</t>
  </si>
  <si>
    <t>3️⃣ GLUCOSE</t>
  </si>
  <si>
    <t>5️⃣  SUCRE NON FERMENTESCIBLE</t>
  </si>
  <si>
    <t>6️⃣ SUCRES NATURELS COMPLEXES</t>
  </si>
  <si>
    <t>7️⃣ EXTRAITS DE MALT (DME / LME)</t>
  </si>
  <si>
    <t>① PALE ALE</t>
  </si>
  <si>
    <t>① PILSNER</t>
  </si>
  <si>
    <t>② CARA CLAIRS (≤ 30 EBC)</t>
  </si>
  <si>
    <t>② CARAMELS MOYENS (30–150 EBC)</t>
  </si>
  <si>
    <t>② CARAMELS FONCÉS</t>
  </si>
  <si>
    <t>Viser 1,009. Il peut etre difficile d'atteindre 1,009. certain s'arretent à 1,013-1,017 pas plus bas</t>
  </si>
  <si>
    <t>produit</t>
  </si>
  <si>
    <t>utilisation</t>
  </si>
  <si>
    <t>FR</t>
  </si>
  <si>
    <t>Arômes épicés, herbacés et légèrement citriques</t>
  </si>
  <si>
    <t>Saisons
Belgian Ale
French Ale Saison</t>
  </si>
  <si>
    <t>rester entre 10 et 20 IBU pour une blanche</t>
  </si>
  <si>
    <t>Seigle (malt)</t>
  </si>
  <si>
    <t>Pineapple Passion</t>
  </si>
  <si>
    <t>sèche</t>
  </si>
  <si>
    <t>NEIPA, Amber Ale, Brown Ale, Double IPA, Imperial Stout,Pale Ale, Stouts, West Coast IPA, Sour</t>
  </si>
  <si>
    <t>arômes d'ananas vibrants</t>
  </si>
  <si>
    <t xml:space="preserve">German Bock Lager WLP833 </t>
  </si>
  <si>
    <t xml:space="preserve"> German Lager WLP830</t>
  </si>
  <si>
    <t>Simonaitis Lithuanian Farmhouse WLP4046</t>
  </si>
  <si>
    <t>San Fransisco Lager WLP810</t>
  </si>
  <si>
    <t>Tropicale Yeast Blend WLP077</t>
  </si>
  <si>
    <t xml:space="preserve">English Ale WLP002 </t>
  </si>
  <si>
    <t>Brettanomyces Bruxellensis WLP650</t>
  </si>
  <si>
    <t xml:space="preserve">Hazy Daze WLP4042 </t>
  </si>
  <si>
    <t>Belgian Ale 1214</t>
  </si>
  <si>
    <t>Hop-Stand / Whrp</t>
  </si>
  <si>
    <t>Remarque:</t>
  </si>
  <si>
    <t>Certains disent de rajouter le sucre après 3j de fermentation/</t>
  </si>
  <si>
    <t xml:space="preserve"> faire un mix des deux? 300 à l'ébu et 380 en primaire?</t>
  </si>
  <si>
    <t xml:space="preserve">Rajouter le sucre après 3j de fermentation/ faire un mix des deux? </t>
  </si>
  <si>
    <t>300 à l'ébu et 380 en primaire?</t>
  </si>
  <si>
    <t>mettre en garde et carbonater 2-3 semaines avant le service</t>
  </si>
  <si>
    <t xml:space="preserve">pour le fut, ne pas resucrer, transferer la biere plate, </t>
  </si>
  <si>
    <t>Donne le goût et les arômes fumés, typiques des bières de style allemandes classiques. Avec ce malt, votre bière aura une mousse abondante avec un agréable goût d’incendie de forêt.</t>
  </si>
  <si>
    <t>Malt fumé au bois de hêtre, au pouvoir diastasique important.</t>
  </si>
  <si>
    <t>Malt Acide</t>
  </si>
  <si>
    <t>Améliore la stabilité et la durée de conservation de la bière. Il abaisse également le pH de la maische et confère à la bière des notes fruitées et acides.</t>
  </si>
  <si>
    <t>Le malt de seigle vient alors remplacer jusqu’à 30 % du malt d’orge. La plupart des microbrasseries ne dépassent toutefois pas les 10 à 20 % dans leurs recettes afin que le goût puissant du seigle ne soit pas trop présent.
La bière de seigle se marie bien avec les œufs et les fromages persillés.</t>
  </si>
  <si>
    <t>Sarrasin (malt)</t>
  </si>
  <si>
    <r>
      <t>En brasserie, ce malt est utilisé à la place du </t>
    </r>
    <r>
      <rPr>
        <b/>
        <sz val="14"/>
        <color rgb="FF353535"/>
        <rFont val="Arial"/>
        <family val="2"/>
      </rPr>
      <t>malt d’orge</t>
    </r>
    <r>
      <rPr>
        <sz val="14"/>
        <color rgb="FF353535"/>
        <rFont val="Arial"/>
        <family val="2"/>
      </rPr>
      <t xml:space="preserve"> afin de produire de la </t>
    </r>
    <r>
      <rPr>
        <b/>
        <sz val="14"/>
        <color rgb="FF353535"/>
        <rFont val="Arial"/>
        <family val="2"/>
      </rPr>
      <t>bière sans gluten</t>
    </r>
    <r>
      <rPr>
        <sz val="14"/>
        <color rgb="FF353535"/>
        <rFont val="Arial"/>
        <family val="2"/>
      </rPr>
      <t xml:space="preserve"> et apporter à votre bière des saveurs de noisettes. Cependant, comme il est dénué de pouvoir diastasique, il ne peut pas être utilisé seul. Contrairement à ce que sa couleur sombre pourrait laisser présager, le malt de sarrasin est peu colorisant (maximum 15 EBC). Il peut également être utilisé dans les bières spéciales pour rendre une note de richesse et profondeur</t>
    </r>
  </si>
  <si>
    <t>① BASE NON ORGE</t>
  </si>
  <si>
    <t>Cara Honey</t>
  </si>
  <si>
    <t>Cara Terra</t>
  </si>
  <si>
    <t>Accent cérales très puissants, pas vraiment substituables. Dosage typique : 1–5 % max</t>
  </si>
  <si>
    <t>①  MALTS SPÉCIAUX - SIGNATURE</t>
  </si>
  <si>
    <t>Malt Fumé</t>
  </si>
  <si>
    <t>Dextrine / Cara pils Malt</t>
  </si>
  <si>
    <t>①  Famille MUNICH</t>
  </si>
  <si>
    <t>Malt Tourbé</t>
  </si>
  <si>
    <t>Maris Otter</t>
  </si>
  <si>
    <t>③ MALT TOASTÉS /  TORRÉFIÉS SEC</t>
  </si>
  <si>
    <t>Épeautre (malt)</t>
  </si>
  <si>
    <t>Épeautre (flocons)</t>
  </si>
  <si>
    <t>Triticale</t>
  </si>
  <si>
    <t>céréale douce entre blé et seigle
bon compromis enzymatique</t>
  </si>
  <si>
    <t>Sorgho</t>
  </si>
  <si>
    <t>Sans gluten
Sec, légèrement acidulé</t>
  </si>
  <si>
    <t>Maïs (malt)</t>
  </si>
  <si>
    <t>très neutre, allège le corps
enzymatiquement faible mais existant</t>
  </si>
  <si>
    <t>Céréale, légèrement noisette. Proche du blé, mais plus rustique</t>
  </si>
  <si>
    <t>29/01/2026 midi</t>
  </si>
  <si>
    <t>28/01/2026 midi</t>
  </si>
  <si>
    <t>Pitch à 16 °C puis montée libre jusqu’à 18 °C</t>
  </si>
  <si>
    <t>NZ NEIPA Single Hop DDH Nelson Sauvin</t>
  </si>
  <si>
    <t>Piwo Grodziskie</t>
  </si>
  <si>
    <t xml:space="preserve">Lichtenhainer </t>
  </si>
  <si>
    <t xml:space="preserve">Roggenbier </t>
  </si>
  <si>
    <t xml:space="preserve">Sahti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</si>
</sst>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3">
    <numFmt numFmtId="164" formatCode="0.0"/>
    <numFmt numFmtId="165" formatCode="0.000"/>
    <numFmt numFmtId="166" formatCode="0.0%"/>
    <numFmt numFmtId="167" formatCode="#.#&quot;°C&quot;"/>
    <numFmt numFmtId="168" formatCode="dd/mm/yy;@"/>
    <numFmt numFmtId="169" formatCode="#,###&quot; g&quot;"/>
    <numFmt numFmtId="170" formatCode="#.#&quot;L&quot;"/>
    <numFmt numFmtId="171" formatCode="#&quot;°C&quot;"/>
    <numFmt numFmtId="172" formatCode="##&quot; g&quot;"/>
    <numFmt numFmtId="173" formatCode="##&quot; min&quot;"/>
    <numFmt numFmtId="174" formatCode="##.##&quot; °&quot;"/>
    <numFmt numFmtId="175" formatCode="##.#&quot; L&quot;"/>
    <numFmt numFmtId="176" formatCode="#.#&quot; vol CO2&quot;"/>
    <numFmt numFmtId="177" formatCode="#.##&quot; g/L&quot;"/>
    <numFmt numFmtId="178" formatCode="##.##&quot; IBU&quot;"/>
    <numFmt numFmtId="179" formatCode="#.#&quot; EBC&quot;"/>
    <numFmt numFmtId="180" formatCode="#.#&quot; mL&quot;"/>
    <numFmt numFmtId="181" formatCode="##&quot; ppm&quot;"/>
    <numFmt numFmtId="182" formatCode="##.##&quot; %/h&quot;"/>
    <numFmt numFmtId="183" formatCode="##&quot; jours&quot;"/>
    <numFmt numFmtId="184" formatCode="0.0000"/>
    <numFmt numFmtId="185" formatCode="####&quot; g&quot;"/>
    <numFmt numFmtId="186" formatCode="##.#&quot; g/L&quot;"/>
    <numFmt numFmtId="187" formatCode="##.#&quot; g&quot;"/>
    <numFmt numFmtId="188" formatCode="##.##&quot; °C&quot;"/>
    <numFmt numFmtId="189" formatCode="##.##&quot; °F&quot;"/>
    <numFmt numFmtId="190" formatCode="##.##&quot; K&quot;"/>
    <numFmt numFmtId="191" formatCode="#0.##&quot; K&quot;"/>
    <numFmt numFmtId="192" formatCode="#0.##&quot; g&quot;"/>
    <numFmt numFmtId="193" formatCode="##.0#&quot; g&quot;"/>
    <numFmt numFmtId="194" formatCode="#0.0#&quot; oz&quot;"/>
    <numFmt numFmtId="195" formatCode="#0.0#&quot; g&quot;"/>
    <numFmt numFmtId="196" formatCode="#0.0#&quot; lbs&quot;"/>
    <numFmt numFmtId="197" formatCode="#0.#0&quot; L&quot;"/>
    <numFmt numFmtId="198" formatCode="#0.#0&quot; gallons&quot;"/>
    <numFmt numFmtId="199" formatCode="##.#0&quot; Brix&quot;"/>
    <numFmt numFmtId="200" formatCode="#0.0#&quot; °P&quot;"/>
    <numFmt numFmtId="201" formatCode="#0.#0&quot; Brix&quot;"/>
    <numFmt numFmtId="202" formatCode="#0.0#&quot; SRM&quot;"/>
    <numFmt numFmtId="203" formatCode="#0.0#&quot; °L&quot;"/>
    <numFmt numFmtId="204" formatCode="#0.0#&quot; EBC&quot;"/>
    <numFmt numFmtId="205" formatCode="##.0&quot; Brix&quot;"/>
    <numFmt numFmtId="206" formatCode="##.0#&quot; ABV&quot;"/>
    <numFmt numFmtId="207" formatCode="###&quot; mds&quot;"/>
    <numFmt numFmtId="208" formatCode="###0&quot; g&quot;"/>
    <numFmt numFmtId="209" formatCode="0.0&quot; mL&quot;"/>
    <numFmt numFmtId="210" formatCode="#,##0&quot; g&quot;"/>
    <numFmt numFmtId="211" formatCode="####&quot; mds&quot;"/>
    <numFmt numFmtId="212" formatCode="#0.#&quot; L&quot;"/>
    <numFmt numFmtId="213" formatCode="#0.0#&quot; IBU&quot;"/>
    <numFmt numFmtId="214" formatCode="#0.0&quot; EBC&quot;"/>
    <numFmt numFmtId="215" formatCode="#,##0.0#&quot; g&quot;"/>
    <numFmt numFmtId="216" formatCode="#0.0&quot; g/L&quot;"/>
    <numFmt numFmtId="217" formatCode="#0.0&quot; IBU&quot;"/>
    <numFmt numFmtId="218" formatCode="##.0&quot; ABV&quot;"/>
    <numFmt numFmtId="219" formatCode="##&quot; ABV&quot;"/>
    <numFmt numFmtId="220" formatCode="###&quot; mg/L&quot;"/>
    <numFmt numFmtId="221" formatCode="0.000000"/>
    <numFmt numFmtId="222" formatCode="##.0&quot; °&quot;"/>
    <numFmt numFmtId="223" formatCode="#,###.00&quot; g&quot;"/>
    <numFmt numFmtId="224" formatCode="##&quot; L°P/kg&quot;"/>
    <numFmt numFmtId="225" formatCode="##.000&quot; L°P/kg&quot;"/>
    <numFmt numFmtId="226" formatCode="#.#&quot; g/L&quot;"/>
  </numFmts>
  <fonts count="88">
    <font>
      <sz val="11"/>
      <color theme="1"/>
      <name val="Calibri"/>
      <family val="2"/>
      <scheme val="minor"/>
    </font>
    <font>
      <sz val="11"/>
      <color theme="1"/>
      <name val="Calibri"/>
      <family val="2"/>
      <scheme val="minor"/>
    </font>
    <font>
      <sz val="11"/>
      <color rgb="FFFF0000"/>
      <name val="Calibri"/>
      <family val="2"/>
      <scheme val="minor"/>
    </font>
    <font>
      <b/>
      <sz val="11"/>
      <color theme="1"/>
      <name val="Calibri"/>
      <family val="2"/>
      <scheme val="minor"/>
    </font>
    <font>
      <sz val="11"/>
      <color theme="0"/>
      <name val="Calibri"/>
      <family val="2"/>
      <scheme val="minor"/>
    </font>
    <font>
      <b/>
      <sz val="11"/>
      <color rgb="FFFF0000"/>
      <name val="Calibri"/>
      <family val="2"/>
      <scheme val="minor"/>
    </font>
    <font>
      <b/>
      <sz val="14"/>
      <color theme="1"/>
      <name val="Calibri"/>
      <family val="2"/>
      <scheme val="minor"/>
    </font>
    <font>
      <b/>
      <sz val="10"/>
      <color theme="1"/>
      <name val="Calibri"/>
      <family val="2"/>
      <scheme val="minor"/>
    </font>
    <font>
      <b/>
      <sz val="18"/>
      <color theme="1"/>
      <name val="Liberation Serif"/>
      <family val="1"/>
    </font>
    <font>
      <b/>
      <sz val="14"/>
      <color theme="1"/>
      <name val="Liberation Serif"/>
      <family val="1"/>
    </font>
    <font>
      <b/>
      <sz val="11"/>
      <color theme="0"/>
      <name val="Liberation Serif"/>
      <family val="1"/>
    </font>
    <font>
      <sz val="11"/>
      <color theme="0"/>
      <name val="Liberation Serif"/>
      <family val="1"/>
    </font>
    <font>
      <sz val="10"/>
      <color theme="1"/>
      <name val="Calibri"/>
      <family val="2"/>
      <scheme val="minor"/>
    </font>
    <font>
      <b/>
      <sz val="13"/>
      <color theme="1"/>
      <name val="Calibri"/>
      <family val="2"/>
      <scheme val="minor"/>
    </font>
    <font>
      <b/>
      <sz val="20"/>
      <color theme="1"/>
      <name val="Calisto MT"/>
      <family val="1"/>
    </font>
    <font>
      <i/>
      <sz val="11"/>
      <color theme="1"/>
      <name val="Calibri"/>
      <family val="2"/>
      <scheme val="minor"/>
    </font>
    <font>
      <sz val="11"/>
      <color theme="1" tint="0.499984740745262"/>
      <name val="Calibri"/>
      <family val="2"/>
      <scheme val="minor"/>
    </font>
    <font>
      <sz val="11"/>
      <color rgb="FF222222"/>
      <name val="Calibri"/>
      <family val="2"/>
      <scheme val="minor"/>
    </font>
    <font>
      <sz val="11"/>
      <name val="Calibri"/>
      <family val="2"/>
      <scheme val="minor"/>
    </font>
    <font>
      <b/>
      <sz val="14"/>
      <name val="Calibri"/>
      <family val="2"/>
      <scheme val="minor"/>
    </font>
    <font>
      <b/>
      <sz val="7"/>
      <color theme="1"/>
      <name val="Calibri"/>
      <family val="2"/>
      <scheme val="minor"/>
    </font>
    <font>
      <b/>
      <sz val="24"/>
      <color theme="1"/>
      <name val="Calisto MT"/>
      <family val="1"/>
    </font>
    <font>
      <sz val="13"/>
      <color theme="1"/>
      <name val="Calibri"/>
      <family val="2"/>
      <scheme val="minor"/>
    </font>
    <font>
      <b/>
      <sz val="9"/>
      <color theme="1"/>
      <name val="Calibri"/>
      <family val="2"/>
      <scheme val="minor"/>
    </font>
    <font>
      <sz val="14"/>
      <name val="Calibri"/>
      <family val="2"/>
      <scheme val="minor"/>
    </font>
    <font>
      <b/>
      <sz val="11"/>
      <color theme="1"/>
      <name val="Calisto MT"/>
      <family val="1"/>
    </font>
    <font>
      <b/>
      <sz val="10"/>
      <color theme="1"/>
      <name val="Calisto MT"/>
      <family val="1"/>
    </font>
    <font>
      <b/>
      <sz val="8"/>
      <color theme="1"/>
      <name val="Calisto MT"/>
      <family val="1"/>
    </font>
    <font>
      <b/>
      <sz val="14"/>
      <color theme="0"/>
      <name val="Calibri"/>
      <family val="2"/>
      <scheme val="minor"/>
    </font>
    <font>
      <sz val="12.35"/>
      <color theme="1"/>
      <name val="Inter"/>
    </font>
    <font>
      <sz val="8"/>
      <name val="Calibri"/>
      <family val="2"/>
      <scheme val="minor"/>
    </font>
    <font>
      <sz val="9.6"/>
      <color theme="1"/>
      <name val="Inter"/>
    </font>
    <font>
      <b/>
      <sz val="11"/>
      <name val="Calibri"/>
      <family val="2"/>
      <scheme val="minor"/>
    </font>
    <font>
      <sz val="10"/>
      <name val="Calibri"/>
      <family val="2"/>
      <scheme val="minor"/>
    </font>
    <font>
      <b/>
      <sz val="9"/>
      <color theme="1"/>
      <name val="Calisto MT"/>
      <family val="1"/>
    </font>
    <font>
      <sz val="9"/>
      <color rgb="FF666666"/>
      <name val="Source Sans Pro"/>
      <family val="2"/>
    </font>
    <font>
      <b/>
      <sz val="9"/>
      <color rgb="FF666666"/>
      <name val="Source Sans Pro"/>
      <family val="2"/>
    </font>
    <font>
      <u/>
      <sz val="11"/>
      <color theme="10"/>
      <name val="Calibri"/>
      <family val="2"/>
      <scheme val="minor"/>
    </font>
    <font>
      <b/>
      <sz val="11"/>
      <color theme="0"/>
      <name val="Calibri"/>
      <family val="2"/>
      <scheme val="minor"/>
    </font>
    <font>
      <b/>
      <sz val="18"/>
      <name val="Liberation Serif"/>
      <family val="1"/>
    </font>
    <font>
      <sz val="8"/>
      <name val="Inter"/>
    </font>
    <font>
      <sz val="7"/>
      <color rgb="FF6C757D"/>
      <name val="Arial"/>
      <family val="2"/>
    </font>
    <font>
      <sz val="12"/>
      <color theme="1"/>
      <name val="Arial"/>
      <family val="2"/>
    </font>
    <font>
      <sz val="12"/>
      <color rgb="FF000000"/>
      <name val="Arial"/>
      <family val="2"/>
    </font>
    <font>
      <sz val="12"/>
      <color rgb="FFFFFFFF"/>
      <name val="Arial"/>
      <family val="2"/>
    </font>
    <font>
      <sz val="8"/>
      <color rgb="FF000000"/>
      <name val="Arial"/>
      <family val="2"/>
    </font>
    <font>
      <sz val="18"/>
      <color rgb="FF5AA121"/>
      <name val="Arial"/>
      <family val="2"/>
    </font>
    <font>
      <sz val="12"/>
      <color rgb="FF5AA121"/>
      <name val="Arial"/>
      <family val="2"/>
    </font>
    <font>
      <sz val="16"/>
      <color rgb="FF5AA121"/>
      <name val="Arial"/>
      <family val="2"/>
    </font>
    <font>
      <b/>
      <sz val="12"/>
      <color rgb="FF000000"/>
      <name val="Arial"/>
      <family val="2"/>
    </font>
    <font>
      <b/>
      <sz val="11"/>
      <color rgb="FFC00000"/>
      <name val="Calibri"/>
      <family val="2"/>
      <scheme val="minor"/>
    </font>
    <font>
      <b/>
      <sz val="11"/>
      <color theme="1"/>
      <name val="Aptos Narrow"/>
      <family val="2"/>
    </font>
    <font>
      <b/>
      <sz val="13.5"/>
      <color theme="1"/>
      <name val="Calibri"/>
      <family val="2"/>
      <scheme val="minor"/>
    </font>
    <font>
      <b/>
      <sz val="12"/>
      <color theme="1"/>
      <name val="Calibri"/>
      <family val="2"/>
      <scheme val="minor"/>
    </font>
    <font>
      <sz val="10"/>
      <color theme="1"/>
      <name val="Arial Unicode MS"/>
    </font>
    <font>
      <sz val="12"/>
      <color rgb="FF2D3748"/>
      <name val="Segoe UI"/>
      <family val="2"/>
    </font>
    <font>
      <sz val="9"/>
      <color indexed="81"/>
      <name val="Tahoma"/>
      <family val="2"/>
    </font>
    <font>
      <b/>
      <sz val="9"/>
      <color indexed="81"/>
      <name val="Tahoma"/>
      <family val="2"/>
    </font>
    <font>
      <b/>
      <sz val="11"/>
      <color theme="1" tint="0.34998626667073579"/>
      <name val="Calibri"/>
      <family val="2"/>
      <scheme val="minor"/>
    </font>
    <font>
      <sz val="10"/>
      <color theme="1" tint="0.34998626667073579"/>
      <name val="Calibri"/>
      <family val="2"/>
      <scheme val="minor"/>
    </font>
    <font>
      <sz val="11"/>
      <color theme="1" tint="0.34998626667073579"/>
      <name val="Calibri"/>
      <family val="2"/>
      <scheme val="minor"/>
    </font>
    <font>
      <i/>
      <sz val="11"/>
      <color theme="1" tint="0.34998626667073579"/>
      <name val="Calibri"/>
      <family val="2"/>
      <scheme val="minor"/>
    </font>
    <font>
      <b/>
      <sz val="11"/>
      <color theme="1" tint="0.499984740745262"/>
      <name val="Calibri"/>
      <family val="2"/>
      <scheme val="minor"/>
    </font>
    <font>
      <sz val="10"/>
      <color theme="1" tint="0.499984740745262"/>
      <name val="Calibri"/>
      <family val="2"/>
      <scheme val="minor"/>
    </font>
    <font>
      <b/>
      <vertAlign val="superscript"/>
      <sz val="11"/>
      <color theme="1"/>
      <name val="Calibri"/>
      <family val="2"/>
      <scheme val="minor"/>
    </font>
    <font>
      <b/>
      <vertAlign val="subscript"/>
      <sz val="11"/>
      <color theme="1"/>
      <name val="Calibri"/>
      <family val="2"/>
      <scheme val="minor"/>
    </font>
    <font>
      <sz val="9"/>
      <color theme="1" tint="0.499984740745262"/>
      <name val="Calibri"/>
      <family val="2"/>
      <scheme val="minor"/>
    </font>
    <font>
      <b/>
      <sz val="14"/>
      <color rgb="FF1D1D1C"/>
      <name val="Arial"/>
      <family val="2"/>
    </font>
    <font>
      <sz val="18"/>
      <color rgb="FF1D1D1C"/>
      <name val="Arial"/>
      <family val="2"/>
    </font>
    <font>
      <sz val="11"/>
      <color rgb="FFC00000"/>
      <name val="Calibri"/>
      <family val="2"/>
      <scheme val="minor"/>
    </font>
    <font>
      <b/>
      <sz val="11"/>
      <color rgb="FF0070C0"/>
      <name val="Calibri"/>
      <family val="2"/>
      <scheme val="minor"/>
    </font>
    <font>
      <sz val="11"/>
      <color rgb="FF0070C0"/>
      <name val="Calibri"/>
      <family val="2"/>
      <scheme val="minor"/>
    </font>
    <font>
      <b/>
      <sz val="12"/>
      <color rgb="FF0070C0"/>
      <name val="Calibri"/>
      <family val="2"/>
      <scheme val="minor"/>
    </font>
    <font>
      <b/>
      <sz val="12"/>
      <color rgb="FFC00000"/>
      <name val="Calibri"/>
      <family val="2"/>
      <scheme val="minor"/>
    </font>
    <font>
      <i/>
      <sz val="11"/>
      <color rgb="FF6C757D"/>
      <name val="Arial"/>
      <family val="2"/>
    </font>
    <font>
      <sz val="11"/>
      <color rgb="FF333333"/>
      <name val="Raleway"/>
    </font>
    <font>
      <b/>
      <sz val="14"/>
      <color rgb="FFC00000"/>
      <name val="Calibri"/>
      <family val="2"/>
      <scheme val="minor"/>
    </font>
    <font>
      <b/>
      <sz val="18"/>
      <color theme="1"/>
      <name val="Calibri"/>
      <family val="2"/>
      <scheme val="minor"/>
    </font>
    <font>
      <b/>
      <sz val="16"/>
      <color theme="1"/>
      <name val="Calibri"/>
      <family val="2"/>
      <scheme val="minor"/>
    </font>
    <font>
      <b/>
      <sz val="20"/>
      <color theme="1"/>
      <name val="Calibri"/>
      <family val="2"/>
      <scheme val="minor"/>
    </font>
    <font>
      <sz val="12"/>
      <color theme="1"/>
      <name val="Calibri"/>
      <family val="2"/>
      <scheme val="minor"/>
    </font>
    <font>
      <b/>
      <sz val="12"/>
      <name val="Calibri"/>
      <family val="2"/>
      <scheme val="minor"/>
    </font>
    <font>
      <b/>
      <sz val="13"/>
      <color rgb="FF666666"/>
      <name val="Source Sans Pro"/>
      <family val="2"/>
    </font>
    <font>
      <sz val="11"/>
      <color indexed="81"/>
      <name val="Tahoma"/>
      <family val="2"/>
    </font>
    <font>
      <sz val="10"/>
      <color indexed="81"/>
      <name val="Tahoma"/>
      <family val="2"/>
    </font>
    <font>
      <sz val="14"/>
      <color rgb="FF353535"/>
      <name val="Arial"/>
      <family val="2"/>
    </font>
    <font>
      <b/>
      <sz val="14"/>
      <color rgb="FF353535"/>
      <name val="Arial"/>
      <family val="2"/>
    </font>
    <font>
      <b/>
      <sz val="11"/>
      <color indexed="81"/>
      <name val="Tahoma"/>
      <family val="2"/>
    </font>
  </fonts>
  <fills count="62">
    <fill>
      <patternFill patternType="none"/>
    </fill>
    <fill>
      <patternFill patternType="gray125"/>
    </fill>
    <fill>
      <patternFill patternType="solid">
        <fgColor rgb="FFFFFF00"/>
        <bgColor indexed="64"/>
      </patternFill>
    </fill>
    <fill>
      <patternFill patternType="solid">
        <fgColor theme="0" tint="-4.9989318521683403E-2"/>
        <bgColor indexed="64"/>
      </patternFill>
    </fill>
    <fill>
      <patternFill patternType="solid">
        <fgColor rgb="FFFFFF99"/>
        <bgColor indexed="64"/>
      </patternFill>
    </fill>
    <fill>
      <patternFill patternType="solid">
        <fgColor rgb="FFCCC0DA"/>
        <bgColor indexed="64"/>
      </patternFill>
    </fill>
    <fill>
      <patternFill patternType="solid">
        <fgColor rgb="FFC4D79B"/>
        <bgColor indexed="64"/>
      </patternFill>
    </fill>
    <fill>
      <patternFill patternType="solid">
        <fgColor rgb="FFFFFF5B"/>
        <bgColor indexed="64"/>
      </patternFill>
    </fill>
    <fill>
      <patternFill patternType="solid">
        <fgColor rgb="FFC0B2D2"/>
        <bgColor indexed="64"/>
      </patternFill>
    </fill>
    <fill>
      <patternFill patternType="solid">
        <fgColor rgb="FFB0DA79"/>
        <bgColor indexed="64"/>
      </patternFill>
    </fill>
    <fill>
      <patternFill patternType="solid">
        <fgColor rgb="FFFFFF93"/>
        <bgColor indexed="64"/>
      </patternFill>
    </fill>
    <fill>
      <patternFill patternType="solid">
        <fgColor theme="9" tint="0.79998168889431442"/>
        <bgColor indexed="64"/>
      </patternFill>
    </fill>
    <fill>
      <patternFill patternType="solid">
        <fgColor rgb="FFCCECFF"/>
        <bgColor indexed="64"/>
      </patternFill>
    </fill>
    <fill>
      <patternFill patternType="solid">
        <fgColor rgb="FF92D6F8"/>
        <bgColor indexed="64"/>
      </patternFill>
    </fill>
    <fill>
      <patternFill patternType="solid">
        <fgColor rgb="FFFFCCFF"/>
        <bgColor indexed="64"/>
      </patternFill>
    </fill>
    <fill>
      <patternFill patternType="solid">
        <fgColor rgb="FFFFFFCC"/>
        <bgColor indexed="64"/>
      </patternFill>
    </fill>
    <fill>
      <patternFill patternType="solid">
        <fgColor rgb="FFFFFFAB"/>
        <bgColor indexed="64"/>
      </patternFill>
    </fill>
    <fill>
      <patternFill patternType="solid">
        <fgColor rgb="FFFFFF89"/>
        <bgColor indexed="64"/>
      </patternFill>
    </fill>
    <fill>
      <patternFill patternType="solid">
        <fgColor rgb="FFFFDF64"/>
        <bgColor indexed="64"/>
      </patternFill>
    </fill>
    <fill>
      <patternFill patternType="solid">
        <fgColor rgb="FFFFD452"/>
        <bgColor indexed="64"/>
      </patternFill>
    </fill>
    <fill>
      <patternFill patternType="solid">
        <fgColor rgb="FFFFBB67"/>
        <bgColor indexed="64"/>
      </patternFill>
    </fill>
    <fill>
      <patternFill patternType="solid">
        <fgColor rgb="FF0088EE"/>
        <bgColor indexed="64"/>
      </patternFill>
    </fill>
    <fill>
      <patternFill patternType="solid">
        <fgColor theme="4" tint="0.79998168889431442"/>
        <bgColor indexed="64"/>
      </patternFill>
    </fill>
    <fill>
      <patternFill patternType="solid">
        <fgColor theme="0"/>
        <bgColor indexed="64"/>
      </patternFill>
    </fill>
    <fill>
      <patternFill patternType="solid">
        <fgColor theme="2" tint="-0.249977111117893"/>
        <bgColor indexed="64"/>
      </patternFill>
    </fill>
    <fill>
      <patternFill patternType="solid">
        <fgColor theme="8" tint="0.59999389629810485"/>
        <bgColor indexed="64"/>
      </patternFill>
    </fill>
    <fill>
      <patternFill patternType="solid">
        <fgColor rgb="FFFF9393"/>
        <bgColor indexed="64"/>
      </patternFill>
    </fill>
    <fill>
      <patternFill patternType="solid">
        <fgColor rgb="FFF8A45E"/>
        <bgColor indexed="64"/>
      </patternFill>
    </fill>
    <fill>
      <patternFill patternType="solid">
        <fgColor rgb="FF4BD0FF"/>
        <bgColor indexed="64"/>
      </patternFill>
    </fill>
    <fill>
      <patternFill patternType="solid">
        <fgColor rgb="FFB8E08C"/>
        <bgColor indexed="64"/>
      </patternFill>
    </fill>
    <fill>
      <patternFill patternType="solid">
        <fgColor rgb="FFFFC000"/>
        <bgColor indexed="64"/>
      </patternFill>
    </fill>
    <fill>
      <patternFill patternType="solid">
        <fgColor rgb="FFFF0000"/>
        <bgColor indexed="64"/>
      </patternFill>
    </fill>
    <fill>
      <patternFill patternType="solid">
        <fgColor theme="7" tint="0.39997558519241921"/>
        <bgColor indexed="64"/>
      </patternFill>
    </fill>
    <fill>
      <patternFill patternType="solid">
        <fgColor rgb="FFFFFFFF"/>
        <bgColor indexed="64"/>
      </patternFill>
    </fill>
    <fill>
      <patternFill patternType="solid">
        <fgColor theme="4" tint="0.39997558519241921"/>
        <bgColor indexed="64"/>
      </patternFill>
    </fill>
    <fill>
      <patternFill patternType="solid">
        <fgColor theme="7" tint="0.59999389629810485"/>
        <bgColor indexed="64"/>
      </patternFill>
    </fill>
    <fill>
      <patternFill patternType="solid">
        <fgColor rgb="FFF3F993"/>
        <bgColor indexed="64"/>
      </patternFill>
    </fill>
    <fill>
      <patternFill patternType="solid">
        <fgColor rgb="FFF3F572"/>
        <bgColor indexed="64"/>
      </patternFill>
    </fill>
    <fill>
      <patternFill patternType="solid">
        <fgColor rgb="FFF2E18D"/>
        <bgColor indexed="64"/>
      </patternFill>
    </fill>
    <fill>
      <patternFill patternType="solid">
        <fgColor rgb="FFF2D66B"/>
        <bgColor indexed="64"/>
      </patternFill>
    </fill>
    <fill>
      <patternFill patternType="solid">
        <fgColor rgb="FFE4B852"/>
        <bgColor indexed="64"/>
      </patternFill>
    </fill>
    <fill>
      <patternFill patternType="solid">
        <fgColor rgb="FFDDAE52"/>
        <bgColor indexed="64"/>
      </patternFill>
    </fill>
    <fill>
      <patternFill patternType="solid">
        <fgColor rgb="FFD29949"/>
        <bgColor indexed="64"/>
      </patternFill>
    </fill>
    <fill>
      <patternFill patternType="solid">
        <fgColor rgb="FFC2853C"/>
        <bgColor indexed="64"/>
      </patternFill>
    </fill>
    <fill>
      <patternFill patternType="solid">
        <fgColor rgb="FFA66E3A"/>
        <bgColor indexed="64"/>
      </patternFill>
    </fill>
    <fill>
      <patternFill patternType="solid">
        <fgColor rgb="FF8E5734"/>
        <bgColor indexed="64"/>
      </patternFill>
    </fill>
    <fill>
      <patternFill patternType="solid">
        <fgColor rgb="FF7C462D"/>
        <bgColor indexed="64"/>
      </patternFill>
    </fill>
    <fill>
      <patternFill patternType="solid">
        <fgColor rgb="FF62341F"/>
        <bgColor indexed="64"/>
      </patternFill>
    </fill>
    <fill>
      <patternFill patternType="solid">
        <fgColor rgb="FF4C2918"/>
        <bgColor indexed="64"/>
      </patternFill>
    </fill>
    <fill>
      <patternFill patternType="solid">
        <fgColor rgb="FF3A1D11"/>
        <bgColor indexed="64"/>
      </patternFill>
    </fill>
    <fill>
      <patternFill patternType="solid">
        <fgColor rgb="FF29140C"/>
        <bgColor indexed="64"/>
      </patternFill>
    </fill>
    <fill>
      <patternFill patternType="solid">
        <fgColor rgb="FFFFE699"/>
        <bgColor indexed="64"/>
      </patternFill>
    </fill>
    <fill>
      <patternFill patternType="solid">
        <fgColor rgb="FFA13700"/>
        <bgColor indexed="64"/>
      </patternFill>
    </fill>
    <fill>
      <patternFill patternType="solid">
        <fgColor rgb="FFFFD878"/>
        <bgColor indexed="64"/>
      </patternFill>
    </fill>
    <fill>
      <patternFill patternType="solid">
        <fgColor rgb="FFFFBF42"/>
        <bgColor indexed="64"/>
      </patternFill>
    </fill>
    <fill>
      <patternFill patternType="solid">
        <fgColor rgb="FFFBB123"/>
        <bgColor indexed="64"/>
      </patternFill>
    </fill>
    <fill>
      <patternFill patternType="solid">
        <fgColor rgb="FF1E0204"/>
        <bgColor indexed="64"/>
      </patternFill>
    </fill>
    <fill>
      <patternFill patternType="solid">
        <fgColor theme="7" tint="-0.249977111117893"/>
        <bgColor indexed="64"/>
      </patternFill>
    </fill>
    <fill>
      <patternFill patternType="solid">
        <fgColor theme="9" tint="0.59999389629810485"/>
        <bgColor indexed="64"/>
      </patternFill>
    </fill>
    <fill>
      <patternFill patternType="solid">
        <fgColor rgb="FF00B0F0"/>
        <bgColor indexed="64"/>
      </patternFill>
    </fill>
    <fill>
      <patternFill patternType="solid">
        <fgColor rgb="FF92D050"/>
        <bgColor indexed="64"/>
      </patternFill>
    </fill>
    <fill>
      <patternFill patternType="solid">
        <fgColor theme="7" tint="0.79998168889431442"/>
        <bgColor indexed="64"/>
      </patternFill>
    </fill>
  </fills>
  <borders count="169">
    <border>
      <left/>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medium">
        <color indexed="64"/>
      </bottom>
      <diagonal/>
    </border>
    <border>
      <left/>
      <right style="thin">
        <color indexed="64"/>
      </right>
      <top style="medium">
        <color indexed="64"/>
      </top>
      <bottom style="thin">
        <color indexed="64"/>
      </bottom>
      <diagonal/>
    </border>
    <border>
      <left style="thin">
        <color theme="0" tint="-0.34998626667073579"/>
      </left>
      <right/>
      <top/>
      <bottom style="medium">
        <color indexed="64"/>
      </bottom>
      <diagonal/>
    </border>
    <border>
      <left style="medium">
        <color indexed="64"/>
      </left>
      <right style="thin">
        <color indexed="64"/>
      </right>
      <top style="medium">
        <color indexed="64"/>
      </top>
      <bottom style="thin">
        <color indexed="64"/>
      </bottom>
      <diagonal/>
    </border>
    <border>
      <left/>
      <right style="medium">
        <color indexed="64"/>
      </right>
      <top style="thin">
        <color indexed="64"/>
      </top>
      <bottom style="thin">
        <color indexed="64"/>
      </bottom>
      <diagonal/>
    </border>
    <border>
      <left style="thin">
        <color theme="0" tint="-0.34998626667073579"/>
      </left>
      <right/>
      <top/>
      <bottom/>
      <diagonal/>
    </border>
    <border>
      <left/>
      <right style="medium">
        <color rgb="FFCCCCCC"/>
      </right>
      <top style="medium">
        <color rgb="FFCCCCCC"/>
      </top>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style="thin">
        <color theme="0" tint="-0.34998626667073579"/>
      </right>
      <top/>
      <bottom style="thin">
        <color theme="0" tint="-0.34998626667073579"/>
      </bottom>
      <diagonal/>
    </border>
    <border>
      <left/>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24994659260841701"/>
      </left>
      <right/>
      <top style="thin">
        <color theme="0" tint="-0.24994659260841701"/>
      </top>
      <bottom style="thin">
        <color theme="0" tint="-0.24994659260841701"/>
      </bottom>
      <diagonal/>
    </border>
    <border>
      <left/>
      <right style="thin">
        <color theme="0" tint="-0.24994659260841701"/>
      </right>
      <top style="thin">
        <color theme="0" tint="-0.24994659260841701"/>
      </top>
      <bottom style="thin">
        <color theme="0" tint="-0.24994659260841701"/>
      </bottom>
      <diagonal/>
    </border>
    <border>
      <left/>
      <right/>
      <top style="thin">
        <color indexed="64"/>
      </top>
      <bottom style="thin">
        <color indexed="64"/>
      </bottom>
      <diagonal/>
    </border>
    <border>
      <left style="thin">
        <color indexed="64"/>
      </left>
      <right style="thin">
        <color indexed="64"/>
      </right>
      <top/>
      <bottom/>
      <diagonal/>
    </border>
    <border>
      <left style="thin">
        <color indexed="64"/>
      </left>
      <right/>
      <top/>
      <bottom/>
      <diagonal/>
    </border>
    <border>
      <left/>
      <right style="thin">
        <color indexed="64"/>
      </right>
      <top/>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theme="0" tint="-0.34998626667073579"/>
      </left>
      <right/>
      <top style="thin">
        <color theme="0" tint="-0.34998626667073579"/>
      </top>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theme="0" tint="-0.34998626667073579"/>
      </left>
      <right style="thin">
        <color theme="0" tint="-0.34998626667073579"/>
      </right>
      <top style="double">
        <color theme="0" tint="-0.34998626667073579"/>
      </top>
      <bottom style="thin">
        <color theme="0" tint="-0.34998626667073579"/>
      </bottom>
      <diagonal/>
    </border>
    <border>
      <left style="thin">
        <color theme="0" tint="-0.34998626667073579"/>
      </left>
      <right style="thin">
        <color theme="0" tint="-0.34998626667073579"/>
      </right>
      <top style="double">
        <color theme="0" tint="-0.34998626667073579"/>
      </top>
      <bottom/>
      <diagonal/>
    </border>
    <border>
      <left/>
      <right style="thin">
        <color theme="0" tint="-0.34998626667073579"/>
      </right>
      <top style="thin">
        <color theme="0" tint="-0.34998626667073579"/>
      </top>
      <bottom/>
      <diagonal/>
    </border>
    <border>
      <left/>
      <right style="thin">
        <color theme="0" tint="-0.34998626667073579"/>
      </right>
      <top/>
      <bottom/>
      <diagonal/>
    </border>
    <border>
      <left/>
      <right/>
      <top style="medium">
        <color indexed="64"/>
      </top>
      <bottom style="thin">
        <color theme="0" tint="-0.34998626667073579"/>
      </bottom>
      <diagonal/>
    </border>
    <border>
      <left style="medium">
        <color indexed="64"/>
      </left>
      <right style="thin">
        <color theme="0" tint="-0.34998626667073579"/>
      </right>
      <top style="medium">
        <color indexed="64"/>
      </top>
      <bottom style="thin">
        <color theme="0" tint="-0.34998626667073579"/>
      </bottom>
      <diagonal/>
    </border>
    <border>
      <left style="thin">
        <color theme="0" tint="-0.34998626667073579"/>
      </left>
      <right style="thin">
        <color theme="0" tint="-0.34998626667073579"/>
      </right>
      <top style="medium">
        <color indexed="64"/>
      </top>
      <bottom style="thin">
        <color theme="0" tint="-0.34998626667073579"/>
      </bottom>
      <diagonal/>
    </border>
    <border>
      <left style="thin">
        <color theme="0" tint="-0.34998626667073579"/>
      </left>
      <right/>
      <top style="medium">
        <color indexed="64"/>
      </top>
      <bottom style="thin">
        <color theme="0" tint="-0.34998626667073579"/>
      </bottom>
      <diagonal/>
    </border>
    <border>
      <left/>
      <right style="thin">
        <color theme="0" tint="-0.34998626667073579"/>
      </right>
      <top style="medium">
        <color indexed="64"/>
      </top>
      <bottom style="thin">
        <color theme="0" tint="-0.34998626667073579"/>
      </bottom>
      <diagonal/>
    </border>
    <border>
      <left style="thin">
        <color theme="0" tint="-0.34998626667073579"/>
      </left>
      <right style="medium">
        <color indexed="64"/>
      </right>
      <top style="medium">
        <color indexed="64"/>
      </top>
      <bottom style="thin">
        <color theme="0" tint="-0.34998626667073579"/>
      </bottom>
      <diagonal/>
    </border>
    <border>
      <left style="thin">
        <color theme="0" tint="-0.34998626667073579"/>
      </left>
      <right style="medium">
        <color indexed="64"/>
      </right>
      <top style="thin">
        <color theme="0" tint="-0.34998626667073579"/>
      </top>
      <bottom style="thin">
        <color theme="0" tint="-0.34998626667073579"/>
      </bottom>
      <diagonal/>
    </border>
    <border>
      <left style="medium">
        <color indexed="64"/>
      </left>
      <right style="thin">
        <color theme="0" tint="-0.34998626667073579"/>
      </right>
      <top style="thin">
        <color theme="0" tint="-0.34998626667073579"/>
      </top>
      <bottom style="medium">
        <color indexed="64"/>
      </bottom>
      <diagonal/>
    </border>
    <border>
      <left style="thin">
        <color theme="0" tint="-0.34998626667073579"/>
      </left>
      <right style="thin">
        <color theme="0" tint="-0.34998626667073579"/>
      </right>
      <top style="thin">
        <color theme="0" tint="-0.34998626667073579"/>
      </top>
      <bottom style="medium">
        <color indexed="64"/>
      </bottom>
      <diagonal/>
    </border>
    <border>
      <left style="thin">
        <color theme="0" tint="-0.34998626667073579"/>
      </left>
      <right/>
      <top style="thin">
        <color theme="0" tint="-0.34998626667073579"/>
      </top>
      <bottom style="medium">
        <color indexed="64"/>
      </bottom>
      <diagonal/>
    </border>
    <border>
      <left/>
      <right style="thin">
        <color theme="0" tint="-0.34998626667073579"/>
      </right>
      <top style="thin">
        <color theme="0" tint="-0.34998626667073579"/>
      </top>
      <bottom style="medium">
        <color indexed="64"/>
      </bottom>
      <diagonal/>
    </border>
    <border>
      <left style="thin">
        <color theme="0" tint="-0.34998626667073579"/>
      </left>
      <right style="medium">
        <color indexed="64"/>
      </right>
      <top style="thin">
        <color theme="0" tint="-0.34998626667073579"/>
      </top>
      <bottom style="medium">
        <color indexed="64"/>
      </bottom>
      <diagonal/>
    </border>
    <border>
      <left style="medium">
        <color indexed="64"/>
      </left>
      <right style="thin">
        <color theme="0" tint="-0.24994659260841701"/>
      </right>
      <top style="medium">
        <color indexed="64"/>
      </top>
      <bottom style="thin">
        <color theme="0" tint="-0.24994659260841701"/>
      </bottom>
      <diagonal/>
    </border>
    <border>
      <left style="thin">
        <color theme="0" tint="-0.24994659260841701"/>
      </left>
      <right/>
      <top style="medium">
        <color indexed="64"/>
      </top>
      <bottom style="thin">
        <color theme="0" tint="-0.24994659260841701"/>
      </bottom>
      <diagonal/>
    </border>
    <border>
      <left/>
      <right style="thin">
        <color theme="0" tint="-0.24994659260841701"/>
      </right>
      <top style="medium">
        <color indexed="64"/>
      </top>
      <bottom style="thin">
        <color theme="0" tint="-0.24994659260841701"/>
      </bottom>
      <diagonal/>
    </border>
    <border>
      <left style="thin">
        <color theme="0" tint="-0.24994659260841701"/>
      </left>
      <right/>
      <top style="medium">
        <color indexed="64"/>
      </top>
      <bottom/>
      <diagonal/>
    </border>
    <border>
      <left style="medium">
        <color indexed="64"/>
      </left>
      <right style="thin">
        <color theme="0" tint="-0.24994659260841701"/>
      </right>
      <top style="thin">
        <color theme="0" tint="-0.24994659260841701"/>
      </top>
      <bottom style="thin">
        <color theme="0" tint="-0.24994659260841701"/>
      </bottom>
      <diagonal/>
    </border>
    <border>
      <left/>
      <right style="medium">
        <color indexed="64"/>
      </right>
      <top style="thin">
        <color theme="0" tint="-0.34998626667073579"/>
      </top>
      <bottom style="thin">
        <color theme="0" tint="-0.34998626667073579"/>
      </bottom>
      <diagonal/>
    </border>
    <border>
      <left/>
      <right style="thin">
        <color theme="0" tint="-0.24994659260841701"/>
      </right>
      <top style="thin">
        <color theme="0" tint="-0.24994659260841701"/>
      </top>
      <bottom style="medium">
        <color indexed="64"/>
      </bottom>
      <diagonal/>
    </border>
    <border>
      <left/>
      <right/>
      <top style="thin">
        <color theme="0" tint="-0.34998626667073579"/>
      </top>
      <bottom style="medium">
        <color indexed="64"/>
      </bottom>
      <diagonal/>
    </border>
    <border>
      <left style="thin">
        <color theme="0" tint="-0.24994659260841701"/>
      </left>
      <right style="thin">
        <color theme="0" tint="-0.24994659260841701"/>
      </right>
      <top style="thin">
        <color theme="0" tint="-0.24994659260841701"/>
      </top>
      <bottom style="medium">
        <color indexed="64"/>
      </bottom>
      <diagonal/>
    </border>
    <border>
      <left/>
      <right style="medium">
        <color indexed="64"/>
      </right>
      <top style="thin">
        <color theme="0" tint="-0.34998626667073579"/>
      </top>
      <bottom style="medium">
        <color indexed="64"/>
      </bottom>
      <diagonal/>
    </border>
    <border>
      <left style="medium">
        <color indexed="64"/>
      </left>
      <right style="thin">
        <color theme="0" tint="-0.34998626667073579"/>
      </right>
      <top style="medium">
        <color indexed="64"/>
      </top>
      <bottom/>
      <diagonal/>
    </border>
    <border>
      <left style="medium">
        <color indexed="64"/>
      </left>
      <right style="thin">
        <color theme="0" tint="-0.34998626667073579"/>
      </right>
      <top/>
      <bottom/>
      <diagonal/>
    </border>
    <border>
      <left style="medium">
        <color indexed="64"/>
      </left>
      <right style="thin">
        <color theme="0" tint="-0.34998626667073579"/>
      </right>
      <top/>
      <bottom style="double">
        <color theme="0" tint="-0.34998626667073579"/>
      </bottom>
      <diagonal/>
    </border>
    <border>
      <left style="medium">
        <color indexed="64"/>
      </left>
      <right style="thin">
        <color theme="0" tint="-0.34998626667073579"/>
      </right>
      <top style="double">
        <color theme="0" tint="-0.34998626667073579"/>
      </top>
      <bottom/>
      <diagonal/>
    </border>
    <border>
      <left/>
      <right style="medium">
        <color indexed="64"/>
      </right>
      <top style="medium">
        <color indexed="64"/>
      </top>
      <bottom style="thin">
        <color theme="0" tint="-0.34998626667073579"/>
      </bottom>
      <diagonal/>
    </border>
    <border>
      <left style="medium">
        <color indexed="64"/>
      </left>
      <right style="thin">
        <color theme="0" tint="-0.34998626667073579"/>
      </right>
      <top/>
      <bottom style="medium">
        <color indexed="64"/>
      </bottom>
      <diagonal/>
    </border>
    <border>
      <left style="medium">
        <color indexed="64"/>
      </left>
      <right style="thin">
        <color theme="0" tint="-0.34998626667073579"/>
      </right>
      <top style="medium">
        <color indexed="64"/>
      </top>
      <bottom style="medium">
        <color indexed="64"/>
      </bottom>
      <diagonal/>
    </border>
    <border>
      <left style="thin">
        <color theme="0" tint="-0.34998626667073579"/>
      </left>
      <right style="thin">
        <color theme="0" tint="-0.34998626667073579"/>
      </right>
      <top style="medium">
        <color indexed="64"/>
      </top>
      <bottom style="medium">
        <color indexed="64"/>
      </bottom>
      <diagonal/>
    </border>
    <border>
      <left style="thin">
        <color theme="0" tint="-0.34998626667073579"/>
      </left>
      <right style="medium">
        <color indexed="64"/>
      </right>
      <top style="medium">
        <color indexed="64"/>
      </top>
      <bottom style="medium">
        <color indexed="64"/>
      </bottom>
      <diagonal/>
    </border>
    <border>
      <left style="thin">
        <color theme="0" tint="-0.34998626667073579"/>
      </left>
      <right style="thin">
        <color theme="0" tint="-0.34998626667073579"/>
      </right>
      <top style="medium">
        <color indexed="64"/>
      </top>
      <bottom/>
      <diagonal/>
    </border>
    <border>
      <left style="thin">
        <color theme="0" tint="-0.34998626667073579"/>
      </left>
      <right style="medium">
        <color indexed="64"/>
      </right>
      <top style="medium">
        <color indexed="64"/>
      </top>
      <bottom/>
      <diagonal/>
    </border>
    <border>
      <left style="thin">
        <color theme="0" tint="-0.34998626667073579"/>
      </left>
      <right style="thin">
        <color theme="0" tint="-0.34998626667073579"/>
      </right>
      <top/>
      <bottom style="medium">
        <color indexed="64"/>
      </bottom>
      <diagonal/>
    </border>
    <border>
      <left style="thin">
        <color theme="0" tint="-0.34998626667073579"/>
      </left>
      <right style="medium">
        <color indexed="64"/>
      </right>
      <top/>
      <bottom style="medium">
        <color indexed="64"/>
      </bottom>
      <diagonal/>
    </border>
    <border>
      <left/>
      <right style="thin">
        <color theme="0" tint="-0.34998626667073579"/>
      </right>
      <top style="medium">
        <color indexed="64"/>
      </top>
      <bottom/>
      <diagonal/>
    </border>
    <border>
      <left style="medium">
        <color indexed="64"/>
      </left>
      <right/>
      <top/>
      <bottom/>
      <diagonal/>
    </border>
    <border>
      <left/>
      <right style="medium">
        <color indexed="64"/>
      </right>
      <top style="thin">
        <color theme="0" tint="-0.34998626667073579"/>
      </top>
      <bottom/>
      <diagonal/>
    </border>
    <border>
      <left/>
      <right style="thin">
        <color theme="0" tint="-0.34998626667073579"/>
      </right>
      <top/>
      <bottom style="medium">
        <color indexed="64"/>
      </bottom>
      <diagonal/>
    </border>
    <border>
      <left style="medium">
        <color indexed="64"/>
      </left>
      <right/>
      <top style="thin">
        <color theme="0" tint="-0.24994659260841701"/>
      </top>
      <bottom style="medium">
        <color indexed="64"/>
      </bottom>
      <diagonal/>
    </border>
    <border>
      <left/>
      <right style="medium">
        <color indexed="64"/>
      </right>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top/>
      <bottom style="thin">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top style="thin">
        <color theme="0" tint="-0.34998626667073579"/>
      </top>
      <bottom/>
      <diagonal/>
    </border>
    <border>
      <left/>
      <right/>
      <top/>
      <bottom style="thin">
        <color theme="0" tint="-0.34998626667073579"/>
      </bottom>
      <diagonal/>
    </border>
    <border>
      <left style="thin">
        <color theme="0" tint="-0.34998626667073579"/>
      </left>
      <right/>
      <top/>
      <bottom style="thin">
        <color theme="0" tint="-0.34998626667073579"/>
      </bottom>
      <diagonal/>
    </border>
    <border>
      <left/>
      <right style="thin">
        <color theme="0" tint="-0.34998626667073579"/>
      </right>
      <top/>
      <bottom style="thin">
        <color theme="0" tint="-0.34998626667073579"/>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style="thin">
        <color indexed="64"/>
      </left>
      <right style="medium">
        <color indexed="64"/>
      </right>
      <top style="thin">
        <color indexed="64"/>
      </top>
      <bottom/>
      <diagonal/>
    </border>
    <border>
      <left/>
      <right style="thin">
        <color theme="0" tint="-0.34998626667073579"/>
      </right>
      <top style="double">
        <color theme="0" tint="-0.34998626667073579"/>
      </top>
      <bottom/>
      <diagonal/>
    </border>
    <border>
      <left/>
      <right style="thin">
        <color theme="0" tint="-0.34998626667073579"/>
      </right>
      <top/>
      <bottom style="double">
        <color theme="0" tint="-0.34998626667073579"/>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style="thin">
        <color theme="0" tint="-0.34998626667073579"/>
      </left>
      <right/>
      <top style="medium">
        <color indexed="64"/>
      </top>
      <bottom style="medium">
        <color indexed="64"/>
      </bottom>
      <diagonal/>
    </border>
    <border>
      <left style="thin">
        <color theme="0" tint="-0.34998626667073579"/>
      </left>
      <right/>
      <top style="thin">
        <color theme="0" tint="-0.34998626667073579"/>
      </top>
      <bottom style="double">
        <color theme="0" tint="-0.249977111117893"/>
      </bottom>
      <diagonal/>
    </border>
    <border>
      <left style="thin">
        <color theme="0" tint="-0.24994659260841701"/>
      </left>
      <right/>
      <top style="thin">
        <color theme="0" tint="-0.34998626667073579"/>
      </top>
      <bottom style="thin">
        <color theme="0" tint="-0.34998626667073579"/>
      </bottom>
      <diagonal/>
    </border>
    <border>
      <left style="thin">
        <color theme="0" tint="-0.24994659260841701"/>
      </left>
      <right/>
      <top style="thin">
        <color theme="0" tint="-0.34998626667073579"/>
      </top>
      <bottom style="medium">
        <color indexed="64"/>
      </bottom>
      <diagonal/>
    </border>
    <border>
      <left style="medium">
        <color indexed="64"/>
      </left>
      <right style="thin">
        <color theme="0" tint="-0.34998626667073579"/>
      </right>
      <top style="thin">
        <color theme="0" tint="-0.34998626667073579"/>
      </top>
      <bottom style="thin">
        <color theme="0" tint="-0.34998626667073579"/>
      </bottom>
      <diagonal/>
    </border>
    <border>
      <left style="thin">
        <color theme="0" tint="-0.34998626667073579"/>
      </left>
      <right style="medium">
        <color indexed="64"/>
      </right>
      <top style="double">
        <color theme="0" tint="-0.34998626667073579"/>
      </top>
      <bottom style="thin">
        <color theme="0" tint="-0.34998626667073579"/>
      </bottom>
      <diagonal/>
    </border>
    <border>
      <left style="medium">
        <color indexed="64"/>
      </left>
      <right style="thin">
        <color theme="0" tint="-0.34998626667073579"/>
      </right>
      <top style="thin">
        <color theme="0" tint="-0.34998626667073579"/>
      </top>
      <bottom/>
      <diagonal/>
    </border>
    <border>
      <left style="thin">
        <color theme="0" tint="-0.34998626667073579"/>
      </left>
      <right style="medium">
        <color indexed="64"/>
      </right>
      <top style="thin">
        <color theme="0" tint="-0.34998626667073579"/>
      </top>
      <bottom/>
      <diagonal/>
    </border>
    <border>
      <left style="medium">
        <color indexed="64"/>
      </left>
      <right/>
      <top style="medium">
        <color indexed="64"/>
      </top>
      <bottom style="thin">
        <color theme="0" tint="-0.34998626667073579"/>
      </bottom>
      <diagonal/>
    </border>
    <border>
      <left style="medium">
        <color indexed="64"/>
      </left>
      <right/>
      <top style="thin">
        <color theme="0" tint="-0.34998626667073579"/>
      </top>
      <bottom style="medium">
        <color indexed="64"/>
      </bottom>
      <diagonal/>
    </border>
    <border>
      <left style="medium">
        <color theme="1"/>
      </left>
      <right/>
      <top style="medium">
        <color theme="1"/>
      </top>
      <bottom/>
      <diagonal/>
    </border>
    <border>
      <left style="thin">
        <color theme="0" tint="-0.34998626667073579"/>
      </left>
      <right style="thin">
        <color theme="0" tint="-0.34998626667073579"/>
      </right>
      <top style="medium">
        <color theme="1"/>
      </top>
      <bottom style="thin">
        <color theme="0" tint="-0.34998626667073579"/>
      </bottom>
      <diagonal/>
    </border>
    <border>
      <left style="thin">
        <color theme="0" tint="-0.34998626667073579"/>
      </left>
      <right/>
      <top style="medium">
        <color theme="1"/>
      </top>
      <bottom style="thin">
        <color theme="0" tint="-0.34998626667073579"/>
      </bottom>
      <diagonal/>
    </border>
    <border>
      <left/>
      <right/>
      <top style="medium">
        <color theme="1"/>
      </top>
      <bottom style="thin">
        <color theme="0" tint="-0.34998626667073579"/>
      </bottom>
      <diagonal/>
    </border>
    <border>
      <left/>
      <right style="medium">
        <color theme="1"/>
      </right>
      <top style="medium">
        <color theme="1"/>
      </top>
      <bottom style="thin">
        <color theme="0" tint="-0.34998626667073579"/>
      </bottom>
      <diagonal/>
    </border>
    <border>
      <left style="medium">
        <color theme="1"/>
      </left>
      <right/>
      <top/>
      <bottom/>
      <diagonal/>
    </border>
    <border>
      <left/>
      <right style="medium">
        <color theme="1"/>
      </right>
      <top style="thin">
        <color theme="0" tint="-0.34998626667073579"/>
      </top>
      <bottom style="thin">
        <color theme="0" tint="-0.34998626667073579"/>
      </bottom>
      <diagonal/>
    </border>
    <border>
      <left style="medium">
        <color theme="1"/>
      </left>
      <right/>
      <top/>
      <bottom style="medium">
        <color theme="1"/>
      </bottom>
      <diagonal/>
    </border>
    <border>
      <left/>
      <right/>
      <top/>
      <bottom style="medium">
        <color theme="1"/>
      </bottom>
      <diagonal/>
    </border>
    <border>
      <left/>
      <right style="thin">
        <color theme="0" tint="-0.34998626667073579"/>
      </right>
      <top/>
      <bottom style="medium">
        <color theme="1"/>
      </bottom>
      <diagonal/>
    </border>
    <border>
      <left style="thin">
        <color theme="0" tint="-0.34998626667073579"/>
      </left>
      <right/>
      <top style="thin">
        <color theme="0" tint="-0.34998626667073579"/>
      </top>
      <bottom style="medium">
        <color theme="1"/>
      </bottom>
      <diagonal/>
    </border>
    <border>
      <left style="thin">
        <color theme="0" tint="-0.34998626667073579"/>
      </left>
      <right style="medium">
        <color theme="1"/>
      </right>
      <top style="thin">
        <color theme="0" tint="-0.34998626667073579"/>
      </top>
      <bottom style="medium">
        <color theme="1"/>
      </bottom>
      <diagonal/>
    </border>
    <border>
      <left style="medium">
        <color theme="1"/>
      </left>
      <right/>
      <top style="medium">
        <color theme="1"/>
      </top>
      <bottom style="medium">
        <color theme="1"/>
      </bottom>
      <diagonal/>
    </border>
    <border>
      <left/>
      <right/>
      <top style="medium">
        <color theme="1"/>
      </top>
      <bottom style="medium">
        <color theme="1"/>
      </bottom>
      <diagonal/>
    </border>
    <border>
      <left/>
      <right style="medium">
        <color theme="1"/>
      </right>
      <top style="medium">
        <color theme="1"/>
      </top>
      <bottom style="medium">
        <color theme="1"/>
      </bottom>
      <diagonal/>
    </border>
    <border>
      <left/>
      <right style="thin">
        <color theme="0" tint="-0.34998626667073579"/>
      </right>
      <top style="medium">
        <color theme="1"/>
      </top>
      <bottom/>
      <diagonal/>
    </border>
    <border>
      <left style="thin">
        <color theme="0" tint="-0.34998626667073579"/>
      </left>
      <right style="thin">
        <color theme="0" tint="-0.34998626667073579"/>
      </right>
      <top style="medium">
        <color theme="1"/>
      </top>
      <bottom/>
      <diagonal/>
    </border>
    <border>
      <left style="thin">
        <color theme="0" tint="-0.34998626667073579"/>
      </left>
      <right style="medium">
        <color theme="1"/>
      </right>
      <top style="medium">
        <color theme="1"/>
      </top>
      <bottom style="thin">
        <color theme="0" tint="-0.34998626667073579"/>
      </bottom>
      <diagonal/>
    </border>
    <border>
      <left style="thin">
        <color theme="0" tint="-0.34998626667073579"/>
      </left>
      <right style="medium">
        <color theme="1"/>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style="medium">
        <color theme="1"/>
      </bottom>
      <diagonal/>
    </border>
    <border>
      <left/>
      <right/>
      <top style="thin">
        <color theme="0" tint="-0.34998626667073579"/>
      </top>
      <bottom style="medium">
        <color theme="1"/>
      </bottom>
      <diagonal/>
    </border>
    <border>
      <left/>
      <right style="medium">
        <color theme="1"/>
      </right>
      <top style="thin">
        <color theme="0" tint="-0.34998626667073579"/>
      </top>
      <bottom style="medium">
        <color theme="1"/>
      </bottom>
      <diagonal/>
    </border>
    <border>
      <left style="thin">
        <color theme="0" tint="-0.24994659260841701"/>
      </left>
      <right/>
      <top/>
      <bottom/>
      <diagonal/>
    </border>
    <border>
      <left/>
      <right style="thin">
        <color theme="0" tint="-0.24994659260841701"/>
      </right>
      <top/>
      <bottom/>
      <diagonal/>
    </border>
    <border>
      <left style="thin">
        <color theme="0" tint="-0.24994659260841701"/>
      </left>
      <right/>
      <top/>
      <bottom style="medium">
        <color indexed="64"/>
      </bottom>
      <diagonal/>
    </border>
    <border>
      <left/>
      <right style="thin">
        <color theme="0" tint="-0.24994659260841701"/>
      </right>
      <top/>
      <bottom style="medium">
        <color indexed="64"/>
      </bottom>
      <diagonal/>
    </border>
    <border>
      <left/>
      <right/>
      <top style="medium">
        <color theme="1"/>
      </top>
      <bottom/>
      <diagonal/>
    </border>
    <border>
      <left/>
      <right style="medium">
        <color theme="1"/>
      </right>
      <top style="medium">
        <color theme="1"/>
      </top>
      <bottom/>
      <diagonal/>
    </border>
    <border>
      <left style="medium">
        <color indexed="64"/>
      </left>
      <right style="thin">
        <color theme="0" tint="-0.24994659260841701"/>
      </right>
      <top style="thin">
        <color theme="0" tint="-0.24994659260841701"/>
      </top>
      <bottom style="medium">
        <color indexed="64"/>
      </bottom>
      <diagonal/>
    </border>
    <border>
      <left style="thin">
        <color theme="0" tint="-0.24994659260841701"/>
      </left>
      <right/>
      <top style="thin">
        <color theme="0" tint="-0.24994659260841701"/>
      </top>
      <bottom style="medium">
        <color indexed="64"/>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medium">
        <color indexed="64"/>
      </left>
      <right style="medium">
        <color indexed="64"/>
      </right>
      <top style="medium">
        <color indexed="64"/>
      </top>
      <bottom style="thin">
        <color theme="0" tint="-0.34998626667073579"/>
      </bottom>
      <diagonal/>
    </border>
    <border>
      <left style="medium">
        <color indexed="64"/>
      </left>
      <right style="medium">
        <color indexed="64"/>
      </right>
      <top style="thin">
        <color theme="0" tint="-0.34998626667073579"/>
      </top>
      <bottom style="medium">
        <color indexed="64"/>
      </bottom>
      <diagonal/>
    </border>
    <border>
      <left style="thin">
        <color indexed="64"/>
      </left>
      <right/>
      <top style="medium">
        <color indexed="64"/>
      </top>
      <bottom style="medium">
        <color indexed="64"/>
      </bottom>
      <diagonal/>
    </border>
    <border>
      <left style="thin">
        <color theme="0" tint="-0.34998626667073579"/>
      </left>
      <right style="medium">
        <color indexed="64"/>
      </right>
      <top/>
      <bottom style="thin">
        <color theme="0" tint="-0.34998626667073579"/>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thin">
        <color indexed="64"/>
      </top>
      <bottom/>
      <diagonal/>
    </border>
  </borders>
  <cellStyleXfs count="3">
    <xf numFmtId="0" fontId="0" fillId="0" borderId="0"/>
    <xf numFmtId="9" fontId="1" fillId="0" borderId="0" applyFont="0" applyFill="0" applyBorder="0" applyAlignment="0" applyProtection="0"/>
    <xf numFmtId="0" fontId="37" fillId="0" borderId="0" applyNumberFormat="0" applyFill="0" applyBorder="0" applyAlignment="0" applyProtection="0"/>
  </cellStyleXfs>
  <cellXfs count="1286">
    <xf numFmtId="0" fontId="0" fillId="0" borderId="0" xfId="0"/>
    <xf numFmtId="0" fontId="3" fillId="4" borderId="11" xfId="0" applyFont="1" applyFill="1" applyBorder="1" applyAlignment="1">
      <alignment horizontal="center" vertical="center" wrapText="1"/>
    </xf>
    <xf numFmtId="166" fontId="3" fillId="5" borderId="11" xfId="0" applyNumberFormat="1" applyFont="1" applyFill="1" applyBorder="1" applyAlignment="1">
      <alignment horizontal="center" vertical="center" wrapText="1"/>
    </xf>
    <xf numFmtId="166" fontId="0" fillId="5" borderId="11" xfId="0" applyNumberFormat="1" applyFill="1" applyBorder="1" applyAlignment="1">
      <alignment horizontal="center" vertical="center"/>
    </xf>
    <xf numFmtId="167" fontId="0" fillId="5" borderId="11" xfId="0" applyNumberFormat="1" applyFill="1" applyBorder="1" applyAlignment="1">
      <alignment horizontal="center" vertical="center"/>
    </xf>
    <xf numFmtId="0" fontId="3" fillId="6" borderId="10" xfId="0" applyFont="1" applyFill="1" applyBorder="1" applyAlignment="1">
      <alignment horizontal="center" vertical="center" wrapText="1"/>
    </xf>
    <xf numFmtId="9" fontId="0" fillId="6" borderId="12" xfId="0" applyNumberFormat="1" applyFill="1" applyBorder="1" applyAlignment="1">
      <alignment horizontal="center" vertical="center" wrapText="1"/>
    </xf>
    <xf numFmtId="0" fontId="3" fillId="6" borderId="10" xfId="0" applyFont="1" applyFill="1" applyBorder="1" applyAlignment="1">
      <alignment horizontal="center" vertical="center"/>
    </xf>
    <xf numFmtId="9" fontId="0" fillId="6" borderId="12" xfId="0" applyNumberFormat="1" applyFill="1" applyBorder="1" applyAlignment="1">
      <alignment horizontal="center" vertical="center"/>
    </xf>
    <xf numFmtId="0" fontId="0" fillId="5" borderId="12" xfId="0" applyFill="1" applyBorder="1" applyAlignment="1">
      <alignment horizontal="center" vertical="center"/>
    </xf>
    <xf numFmtId="9" fontId="0" fillId="7" borderId="11" xfId="0" applyNumberFormat="1" applyFill="1" applyBorder="1" applyAlignment="1">
      <alignment horizontal="center" vertical="center"/>
    </xf>
    <xf numFmtId="0" fontId="0" fillId="7" borderId="11" xfId="0" applyFill="1" applyBorder="1" applyAlignment="1">
      <alignment horizontal="center" vertical="center"/>
    </xf>
    <xf numFmtId="0" fontId="4" fillId="0" borderId="0" xfId="0" applyFont="1"/>
    <xf numFmtId="0" fontId="10" fillId="0" borderId="0" xfId="0" applyFont="1" applyAlignment="1">
      <alignment horizontal="center" vertical="center"/>
    </xf>
    <xf numFmtId="166" fontId="11" fillId="0" borderId="0" xfId="1" applyNumberFormat="1" applyFont="1" applyFill="1" applyBorder="1" applyAlignment="1">
      <alignment horizontal="center" vertical="center"/>
    </xf>
    <xf numFmtId="0" fontId="3" fillId="0" borderId="0" xfId="0" applyFont="1" applyAlignment="1">
      <alignment horizontal="center" vertical="center"/>
    </xf>
    <xf numFmtId="0" fontId="0" fillId="0" borderId="0" xfId="0" applyAlignment="1">
      <alignment horizontal="center"/>
    </xf>
    <xf numFmtId="0" fontId="3" fillId="0" borderId="0" xfId="0" applyFont="1" applyAlignment="1">
      <alignment vertical="center" wrapText="1"/>
    </xf>
    <xf numFmtId="164" fontId="0" fillId="0" borderId="0" xfId="0" applyNumberFormat="1" applyAlignment="1">
      <alignment horizontal="center"/>
    </xf>
    <xf numFmtId="0" fontId="0" fillId="0" borderId="0" xfId="0" applyAlignment="1">
      <alignment horizontal="center" vertical="center"/>
    </xf>
    <xf numFmtId="0" fontId="3" fillId="11" borderId="26" xfId="0" applyFont="1" applyFill="1" applyBorder="1" applyAlignment="1">
      <alignment horizontal="center" vertical="center"/>
    </xf>
    <xf numFmtId="0" fontId="7" fillId="11" borderId="11" xfId="0" applyFont="1" applyFill="1" applyBorder="1" applyAlignment="1">
      <alignment horizontal="center" vertical="center"/>
    </xf>
    <xf numFmtId="0" fontId="12" fillId="11" borderId="11" xfId="0" applyFont="1" applyFill="1" applyBorder="1" applyAlignment="1">
      <alignment horizontal="center" vertical="center"/>
    </xf>
    <xf numFmtId="0" fontId="0" fillId="11" borderId="11" xfId="0" applyFill="1" applyBorder="1" applyAlignment="1">
      <alignment horizontal="center" vertical="center" wrapText="1"/>
    </xf>
    <xf numFmtId="0" fontId="0" fillId="11" borderId="11" xfId="0" applyFill="1" applyBorder="1" applyAlignment="1">
      <alignment horizontal="center" vertical="center"/>
    </xf>
    <xf numFmtId="166" fontId="0" fillId="0" borderId="0" xfId="0" applyNumberFormat="1" applyAlignment="1">
      <alignment horizontal="center" vertical="center"/>
    </xf>
    <xf numFmtId="169" fontId="0" fillId="4" borderId="28" xfId="0" applyNumberFormat="1" applyFill="1" applyBorder="1" applyAlignment="1" applyProtection="1">
      <alignment horizontal="center" vertical="center"/>
      <protection locked="0"/>
    </xf>
    <xf numFmtId="173" fontId="0" fillId="15" borderId="28" xfId="0" applyNumberFormat="1" applyFill="1" applyBorder="1" applyAlignment="1" applyProtection="1">
      <alignment horizontal="center" vertical="center"/>
      <protection locked="0"/>
    </xf>
    <xf numFmtId="0" fontId="0" fillId="0" borderId="0" xfId="0" applyAlignment="1" applyProtection="1">
      <alignment horizontal="center" vertical="center"/>
      <protection locked="0"/>
    </xf>
    <xf numFmtId="0" fontId="0" fillId="13" borderId="28" xfId="0" applyFill="1" applyBorder="1" applyAlignment="1" applyProtection="1">
      <alignment horizontal="center" vertical="center"/>
      <protection locked="0"/>
    </xf>
    <xf numFmtId="175" fontId="0" fillId="0" borderId="0" xfId="0" applyNumberFormat="1" applyAlignment="1" applyProtection="1">
      <alignment horizontal="center" vertical="center"/>
      <protection locked="0"/>
    </xf>
    <xf numFmtId="171" fontId="0" fillId="0" borderId="0" xfId="0" applyNumberFormat="1" applyAlignment="1" applyProtection="1">
      <alignment horizontal="center" vertical="center"/>
      <protection locked="0"/>
    </xf>
    <xf numFmtId="0" fontId="0" fillId="4" borderId="28" xfId="0" applyFill="1" applyBorder="1" applyAlignment="1" applyProtection="1">
      <alignment horizontal="center" vertical="center"/>
      <protection locked="0"/>
    </xf>
    <xf numFmtId="168" fontId="0" fillId="19" borderId="28" xfId="0" applyNumberFormat="1" applyFill="1" applyBorder="1" applyAlignment="1" applyProtection="1">
      <alignment horizontal="center" vertical="center"/>
      <protection locked="0"/>
    </xf>
    <xf numFmtId="9" fontId="0" fillId="4" borderId="28" xfId="0" applyNumberFormat="1" applyFill="1" applyBorder="1" applyAlignment="1">
      <alignment horizontal="center" vertical="center"/>
    </xf>
    <xf numFmtId="2" fontId="0" fillId="4" borderId="28" xfId="0" applyNumberFormat="1" applyFill="1" applyBorder="1" applyAlignment="1">
      <alignment horizontal="center" vertical="center"/>
    </xf>
    <xf numFmtId="167" fontId="0" fillId="15" borderId="28" xfId="0" applyNumberFormat="1" applyFill="1" applyBorder="1" applyAlignment="1">
      <alignment horizontal="center" vertical="center"/>
    </xf>
    <xf numFmtId="0" fontId="3" fillId="3" borderId="27" xfId="0" applyFont="1" applyFill="1" applyBorder="1" applyAlignment="1">
      <alignment horizontal="center" vertical="center"/>
    </xf>
    <xf numFmtId="0" fontId="3" fillId="17" borderId="28" xfId="0" applyFont="1" applyFill="1" applyBorder="1" applyAlignment="1">
      <alignment horizontal="center" vertical="center"/>
    </xf>
    <xf numFmtId="0" fontId="0" fillId="7" borderId="28" xfId="0" applyFill="1" applyBorder="1" applyAlignment="1">
      <alignment horizontal="center" vertical="center" wrapText="1"/>
    </xf>
    <xf numFmtId="0" fontId="0" fillId="7" borderId="28" xfId="0" applyFill="1" applyBorder="1" applyAlignment="1">
      <alignment horizontal="center" vertical="center"/>
    </xf>
    <xf numFmtId="10" fontId="3" fillId="20" borderId="28" xfId="0" applyNumberFormat="1" applyFont="1" applyFill="1" applyBorder="1" applyAlignment="1">
      <alignment vertical="center"/>
    </xf>
    <xf numFmtId="0" fontId="3" fillId="19" borderId="28" xfId="0" applyFont="1" applyFill="1" applyBorder="1" applyAlignment="1">
      <alignment horizontal="center" vertical="center"/>
    </xf>
    <xf numFmtId="169" fontId="0" fillId="4" borderId="34" xfId="0" applyNumberFormat="1" applyFill="1" applyBorder="1" applyAlignment="1" applyProtection="1">
      <alignment horizontal="center" vertical="center"/>
      <protection locked="0"/>
    </xf>
    <xf numFmtId="171" fontId="0" fillId="19" borderId="28" xfId="0" applyNumberFormat="1" applyFill="1" applyBorder="1" applyAlignment="1" applyProtection="1">
      <alignment horizontal="center" vertical="center"/>
      <protection locked="0"/>
    </xf>
    <xf numFmtId="183" fontId="0" fillId="19" borderId="28" xfId="0" applyNumberFormat="1" applyFill="1" applyBorder="1" applyAlignment="1" applyProtection="1">
      <alignment horizontal="center" vertical="center"/>
      <protection locked="0"/>
    </xf>
    <xf numFmtId="168" fontId="0" fillId="19" borderId="28" xfId="0" applyNumberFormat="1" applyFill="1" applyBorder="1" applyAlignment="1">
      <alignment horizontal="center" vertical="center"/>
    </xf>
    <xf numFmtId="0" fontId="3" fillId="13" borderId="28" xfId="0" applyFont="1" applyFill="1" applyBorder="1" applyAlignment="1">
      <alignment horizontal="center" vertical="center"/>
    </xf>
    <xf numFmtId="164" fontId="0" fillId="19" borderId="28" xfId="0" applyNumberFormat="1" applyFill="1" applyBorder="1" applyAlignment="1" applyProtection="1">
      <alignment horizontal="center" vertical="center"/>
      <protection locked="0"/>
    </xf>
    <xf numFmtId="0" fontId="3" fillId="18" borderId="28" xfId="0" applyFont="1" applyFill="1" applyBorder="1" applyAlignment="1">
      <alignment horizontal="center" vertical="center"/>
    </xf>
    <xf numFmtId="0" fontId="0" fillId="18" borderId="11" xfId="0" applyFill="1" applyBorder="1" applyAlignment="1" applyProtection="1">
      <alignment horizontal="center" vertical="center"/>
      <protection locked="0"/>
    </xf>
    <xf numFmtId="178" fontId="0" fillId="29" borderId="11" xfId="0" applyNumberFormat="1" applyFill="1" applyBorder="1" applyAlignment="1">
      <alignment horizontal="center" vertical="center"/>
    </xf>
    <xf numFmtId="0" fontId="0" fillId="29" borderId="11" xfId="0" applyFill="1" applyBorder="1" applyAlignment="1">
      <alignment horizontal="center" vertical="center"/>
    </xf>
    <xf numFmtId="173" fontId="0" fillId="29" borderId="11" xfId="0" applyNumberFormat="1" applyFill="1" applyBorder="1" applyAlignment="1">
      <alignment horizontal="center" vertical="center"/>
    </xf>
    <xf numFmtId="172" fontId="0" fillId="29" borderId="11" xfId="0" applyNumberFormat="1" applyFill="1" applyBorder="1" applyAlignment="1">
      <alignment horizontal="center" vertical="center"/>
    </xf>
    <xf numFmtId="165" fontId="18" fillId="16" borderId="11" xfId="0" applyNumberFormat="1" applyFont="1" applyFill="1" applyBorder="1" applyAlignment="1">
      <alignment horizontal="center" vertical="center"/>
    </xf>
    <xf numFmtId="200" fontId="18" fillId="16" borderId="11" xfId="0" applyNumberFormat="1" applyFont="1" applyFill="1" applyBorder="1" applyAlignment="1">
      <alignment horizontal="center" vertical="center"/>
    </xf>
    <xf numFmtId="201" fontId="18" fillId="16" borderId="11" xfId="0" applyNumberFormat="1" applyFont="1" applyFill="1" applyBorder="1" applyAlignment="1">
      <alignment horizontal="center" vertical="center"/>
    </xf>
    <xf numFmtId="165" fontId="20" fillId="17" borderId="11" xfId="0" applyNumberFormat="1" applyFont="1" applyFill="1" applyBorder="1" applyAlignment="1">
      <alignment horizontal="center" vertical="center" wrapText="1"/>
    </xf>
    <xf numFmtId="2" fontId="3" fillId="17" borderId="19" xfId="0" applyNumberFormat="1" applyFont="1" applyFill="1" applyBorder="1" applyAlignment="1">
      <alignment vertical="center"/>
    </xf>
    <xf numFmtId="166" fontId="0" fillId="17" borderId="11" xfId="0" applyNumberFormat="1" applyFill="1" applyBorder="1" applyAlignment="1">
      <alignment horizontal="center" vertical="center"/>
    </xf>
    <xf numFmtId="166" fontId="3" fillId="29" borderId="11" xfId="0" applyNumberFormat="1" applyFont="1" applyFill="1" applyBorder="1" applyAlignment="1">
      <alignment horizontal="center" vertical="center"/>
    </xf>
    <xf numFmtId="165" fontId="0" fillId="17" borderId="11" xfId="0" applyNumberFormat="1" applyFill="1" applyBorder="1" applyAlignment="1">
      <alignment horizontal="center" vertical="center"/>
    </xf>
    <xf numFmtId="166" fontId="3" fillId="29" borderId="39" xfId="0" applyNumberFormat="1" applyFont="1" applyFill="1" applyBorder="1" applyAlignment="1">
      <alignment horizontal="center" vertical="center"/>
    </xf>
    <xf numFmtId="197" fontId="3" fillId="29" borderId="0" xfId="0" applyNumberFormat="1" applyFont="1" applyFill="1" applyAlignment="1">
      <alignment horizontal="center" vertical="center"/>
    </xf>
    <xf numFmtId="0" fontId="3" fillId="29" borderId="0" xfId="0" applyFont="1" applyFill="1" applyAlignment="1">
      <alignment horizontal="center" vertical="center"/>
    </xf>
    <xf numFmtId="165" fontId="3" fillId="29" borderId="40" xfId="0" applyNumberFormat="1" applyFont="1" applyFill="1" applyBorder="1" applyAlignment="1">
      <alignment horizontal="center" vertical="center"/>
    </xf>
    <xf numFmtId="205" fontId="17" fillId="17" borderId="11" xfId="0" applyNumberFormat="1" applyFont="1" applyFill="1" applyBorder="1" applyAlignment="1">
      <alignment horizontal="center" vertical="center"/>
    </xf>
    <xf numFmtId="197" fontId="3" fillId="29" borderId="11" xfId="0" applyNumberFormat="1" applyFont="1" applyFill="1" applyBorder="1" applyAlignment="1">
      <alignment horizontal="center" vertical="center"/>
    </xf>
    <xf numFmtId="0" fontId="3" fillId="29" borderId="11" xfId="0" applyFont="1" applyFill="1" applyBorder="1" applyAlignment="1">
      <alignment horizontal="center" vertical="center"/>
    </xf>
    <xf numFmtId="165" fontId="3" fillId="29" borderId="11" xfId="0" applyNumberFormat="1" applyFont="1" applyFill="1" applyBorder="1" applyAlignment="1">
      <alignment horizontal="center" vertical="center"/>
    </xf>
    <xf numFmtId="199" fontId="17" fillId="17" borderId="11" xfId="0" applyNumberFormat="1" applyFont="1" applyFill="1" applyBorder="1" applyAlignment="1">
      <alignment horizontal="center" vertical="center"/>
    </xf>
    <xf numFmtId="198" fontId="0" fillId="28" borderId="11" xfId="0" applyNumberFormat="1" applyFill="1" applyBorder="1" applyAlignment="1">
      <alignment horizontal="center" vertical="center"/>
    </xf>
    <xf numFmtId="197" fontId="0" fillId="28" borderId="11" xfId="0" applyNumberFormat="1" applyFill="1" applyBorder="1" applyAlignment="1">
      <alignment horizontal="center" vertical="center"/>
    </xf>
    <xf numFmtId="200" fontId="18" fillId="17" borderId="11" xfId="0" applyNumberFormat="1" applyFont="1" applyFill="1" applyBorder="1" applyAlignment="1">
      <alignment horizontal="center" vertical="center"/>
    </xf>
    <xf numFmtId="186" fontId="0" fillId="17" borderId="11" xfId="0" applyNumberFormat="1" applyFill="1" applyBorder="1" applyAlignment="1">
      <alignment horizontal="center" vertical="center"/>
    </xf>
    <xf numFmtId="196" fontId="0" fillId="24" borderId="11" xfId="0" applyNumberFormat="1" applyFill="1" applyBorder="1" applyAlignment="1">
      <alignment horizontal="center" vertical="center"/>
    </xf>
    <xf numFmtId="187" fontId="0" fillId="24" borderId="11" xfId="0" applyNumberFormat="1" applyFill="1" applyBorder="1" applyAlignment="1">
      <alignment horizontal="center" vertical="center"/>
    </xf>
    <xf numFmtId="195" fontId="0" fillId="24" borderId="11" xfId="0" applyNumberFormat="1" applyFill="1" applyBorder="1" applyAlignment="1">
      <alignment horizontal="center" vertical="center"/>
    </xf>
    <xf numFmtId="192" fontId="0" fillId="24" borderId="11" xfId="0" applyNumberFormat="1" applyFill="1" applyBorder="1" applyAlignment="1">
      <alignment horizontal="center" vertical="center"/>
    </xf>
    <xf numFmtId="187" fontId="0" fillId="5" borderId="11" xfId="0" applyNumberFormat="1" applyFill="1" applyBorder="1" applyAlignment="1">
      <alignment horizontal="center" vertical="center"/>
    </xf>
    <xf numFmtId="188" fontId="0" fillId="26" borderId="11" xfId="0" applyNumberFormat="1" applyFill="1" applyBorder="1" applyAlignment="1">
      <alignment horizontal="center" vertical="center"/>
    </xf>
    <xf numFmtId="189" fontId="0" fillId="26" borderId="11" xfId="0" applyNumberFormat="1" applyFill="1" applyBorder="1" applyAlignment="1">
      <alignment horizontal="center" vertical="center"/>
    </xf>
    <xf numFmtId="190" fontId="0" fillId="26" borderId="11" xfId="0" applyNumberFormat="1" applyFill="1" applyBorder="1" applyAlignment="1">
      <alignment horizontal="center" vertical="center"/>
    </xf>
    <xf numFmtId="0" fontId="0" fillId="25" borderId="11" xfId="0" applyFill="1" applyBorder="1" applyAlignment="1">
      <alignment horizontal="center" vertical="center"/>
    </xf>
    <xf numFmtId="185" fontId="0" fillId="25" borderId="11" xfId="0" applyNumberFormat="1" applyFill="1" applyBorder="1" applyAlignment="1">
      <alignment horizontal="center" vertical="center"/>
    </xf>
    <xf numFmtId="202" fontId="0" fillId="27" borderId="11" xfId="0" applyNumberFormat="1" applyFill="1" applyBorder="1" applyAlignment="1">
      <alignment horizontal="center" vertical="center"/>
    </xf>
    <xf numFmtId="204" fontId="0" fillId="27" borderId="11" xfId="0" applyNumberFormat="1" applyFill="1" applyBorder="1" applyAlignment="1">
      <alignment horizontal="center" vertical="center"/>
    </xf>
    <xf numFmtId="165" fontId="18" fillId="16" borderId="11" xfId="0" applyNumberFormat="1" applyFont="1" applyFill="1" applyBorder="1" applyAlignment="1" applyProtection="1">
      <alignment horizontal="center" vertical="center"/>
      <protection locked="0"/>
    </xf>
    <xf numFmtId="200" fontId="18" fillId="16" borderId="11" xfId="0" applyNumberFormat="1" applyFont="1" applyFill="1" applyBorder="1" applyAlignment="1" applyProtection="1">
      <alignment horizontal="center" vertical="center"/>
      <protection locked="0"/>
    </xf>
    <xf numFmtId="201" fontId="18" fillId="16" borderId="11" xfId="0" applyNumberFormat="1" applyFont="1" applyFill="1" applyBorder="1" applyAlignment="1" applyProtection="1">
      <alignment horizontal="center" vertical="center"/>
      <protection locked="0"/>
    </xf>
    <xf numFmtId="198" fontId="0" fillId="28" borderId="11" xfId="0" applyNumberFormat="1" applyFill="1" applyBorder="1" applyAlignment="1" applyProtection="1">
      <alignment horizontal="center" vertical="center"/>
      <protection locked="0"/>
    </xf>
    <xf numFmtId="197" fontId="0" fillId="28" borderId="11" xfId="0" applyNumberFormat="1" applyFill="1" applyBorder="1" applyAlignment="1" applyProtection="1">
      <alignment horizontal="center" vertical="center"/>
      <protection locked="0"/>
    </xf>
    <xf numFmtId="196" fontId="0" fillId="24" borderId="11" xfId="0" applyNumberFormat="1" applyFill="1" applyBorder="1" applyAlignment="1" applyProtection="1">
      <alignment horizontal="center" vertical="center"/>
      <protection locked="0"/>
    </xf>
    <xf numFmtId="193" fontId="0" fillId="24" borderId="11" xfId="0" applyNumberFormat="1" applyFill="1" applyBorder="1" applyAlignment="1" applyProtection="1">
      <alignment horizontal="center" vertical="center"/>
      <protection locked="0"/>
    </xf>
    <xf numFmtId="194" fontId="0" fillId="24" borderId="11" xfId="0" applyNumberFormat="1" applyFill="1" applyBorder="1" applyAlignment="1" applyProtection="1">
      <alignment horizontal="center" vertical="center"/>
      <protection locked="0"/>
    </xf>
    <xf numFmtId="188" fontId="0" fillId="26" borderId="11" xfId="0" applyNumberFormat="1" applyFill="1" applyBorder="1" applyAlignment="1" applyProtection="1">
      <alignment horizontal="center" vertical="center"/>
      <protection locked="0"/>
    </xf>
    <xf numFmtId="189" fontId="0" fillId="26" borderId="11" xfId="0" applyNumberFormat="1" applyFill="1" applyBorder="1" applyAlignment="1" applyProtection="1">
      <alignment horizontal="center" vertical="center"/>
      <protection locked="0"/>
    </xf>
    <xf numFmtId="191" fontId="0" fillId="26" borderId="11" xfId="0" applyNumberFormat="1" applyFill="1" applyBorder="1" applyAlignment="1" applyProtection="1">
      <alignment horizontal="center" vertical="center"/>
      <protection locked="0"/>
    </xf>
    <xf numFmtId="202" fontId="0" fillId="27" borderId="11" xfId="0" applyNumberFormat="1" applyFill="1" applyBorder="1" applyAlignment="1" applyProtection="1">
      <alignment horizontal="center" vertical="center"/>
      <protection locked="0"/>
    </xf>
    <xf numFmtId="204" fontId="0" fillId="27" borderId="11" xfId="0" applyNumberFormat="1" applyFill="1" applyBorder="1" applyAlignment="1" applyProtection="1">
      <alignment horizontal="center" vertical="center"/>
      <protection locked="0"/>
    </xf>
    <xf numFmtId="203" fontId="0" fillId="27" borderId="11" xfId="0" applyNumberFormat="1" applyFill="1" applyBorder="1" applyAlignment="1" applyProtection="1">
      <alignment horizontal="center" vertical="center"/>
      <protection locked="0"/>
    </xf>
    <xf numFmtId="165" fontId="0" fillId="25" borderId="11" xfId="0" applyNumberFormat="1" applyFill="1" applyBorder="1" applyAlignment="1" applyProtection="1">
      <alignment horizontal="center" vertical="center"/>
      <protection locked="0"/>
    </xf>
    <xf numFmtId="197" fontId="0" fillId="25" borderId="11" xfId="0" applyNumberFormat="1" applyFill="1" applyBorder="1" applyAlignment="1" applyProtection="1">
      <alignment horizontal="center" vertical="center"/>
      <protection locked="0"/>
    </xf>
    <xf numFmtId="165" fontId="0" fillId="18" borderId="11" xfId="0" applyNumberFormat="1" applyFill="1" applyBorder="1" applyAlignment="1" applyProtection="1">
      <alignment horizontal="center" vertical="center"/>
      <protection locked="0"/>
    </xf>
    <xf numFmtId="165" fontId="2" fillId="17" borderId="11" xfId="0" applyNumberFormat="1" applyFont="1" applyFill="1" applyBorder="1" applyAlignment="1" applyProtection="1">
      <alignment horizontal="center" vertical="center"/>
      <protection locked="0"/>
    </xf>
    <xf numFmtId="199" fontId="2" fillId="17" borderId="11" xfId="0" applyNumberFormat="1" applyFont="1" applyFill="1" applyBorder="1" applyAlignment="1" applyProtection="1">
      <alignment horizontal="center" vertical="center"/>
      <protection locked="0"/>
    </xf>
    <xf numFmtId="205" fontId="2" fillId="17" borderId="11" xfId="0" applyNumberFormat="1" applyFont="1" applyFill="1" applyBorder="1" applyAlignment="1" applyProtection="1">
      <alignment horizontal="center" vertical="center"/>
      <protection locked="0"/>
    </xf>
    <xf numFmtId="0" fontId="2" fillId="17" borderId="11" xfId="0" applyFont="1" applyFill="1" applyBorder="1" applyAlignment="1" applyProtection="1">
      <alignment horizontal="center" vertical="center"/>
      <protection locked="0"/>
    </xf>
    <xf numFmtId="165" fontId="0" fillId="29" borderId="11" xfId="0" applyNumberFormat="1" applyFill="1" applyBorder="1" applyAlignment="1" applyProtection="1">
      <alignment horizontal="center" vertical="center"/>
      <protection locked="0"/>
    </xf>
    <xf numFmtId="165" fontId="0" fillId="5" borderId="11" xfId="0" applyNumberFormat="1" applyFill="1" applyBorder="1" applyAlignment="1" applyProtection="1">
      <alignment horizontal="center" vertical="center"/>
      <protection locked="0"/>
    </xf>
    <xf numFmtId="166" fontId="3" fillId="17" borderId="11" xfId="0" applyNumberFormat="1" applyFont="1" applyFill="1" applyBorder="1" applyAlignment="1">
      <alignment horizontal="center" vertical="center"/>
    </xf>
    <xf numFmtId="0" fontId="3" fillId="17" borderId="11" xfId="0" applyFont="1" applyFill="1" applyBorder="1" applyAlignment="1">
      <alignment horizontal="center" vertical="center"/>
    </xf>
    <xf numFmtId="206" fontId="0" fillId="17" borderId="11" xfId="0" applyNumberFormat="1" applyFill="1" applyBorder="1" applyAlignment="1">
      <alignment horizontal="center" vertical="center"/>
    </xf>
    <xf numFmtId="207" fontId="0" fillId="5" borderId="11" xfId="0" applyNumberFormat="1" applyFill="1" applyBorder="1" applyAlignment="1" applyProtection="1">
      <alignment horizontal="center" vertical="center"/>
      <protection locked="0"/>
    </xf>
    <xf numFmtId="197" fontId="0" fillId="18" borderId="11" xfId="0" applyNumberFormat="1" applyFill="1" applyBorder="1" applyAlignment="1" applyProtection="1">
      <alignment horizontal="center" vertical="center"/>
      <protection locked="0"/>
    </xf>
    <xf numFmtId="0" fontId="0" fillId="4" borderId="49" xfId="0" applyFill="1" applyBorder="1" applyAlignment="1" applyProtection="1">
      <alignment horizontal="center" vertical="center"/>
      <protection locked="0"/>
    </xf>
    <xf numFmtId="2" fontId="0" fillId="4" borderId="49" xfId="0" applyNumberFormat="1" applyFill="1" applyBorder="1" applyAlignment="1">
      <alignment horizontal="center" vertical="center"/>
    </xf>
    <xf numFmtId="169" fontId="0" fillId="4" borderId="49" xfId="0" applyNumberFormat="1" applyFill="1" applyBorder="1" applyAlignment="1" applyProtection="1">
      <alignment horizontal="center" vertical="center"/>
      <protection locked="0"/>
    </xf>
    <xf numFmtId="165" fontId="0" fillId="19" borderId="28" xfId="0" applyNumberFormat="1" applyFill="1" applyBorder="1" applyAlignment="1">
      <alignment horizontal="center" vertical="center"/>
    </xf>
    <xf numFmtId="10" fontId="0" fillId="19" borderId="28" xfId="0" applyNumberFormat="1" applyFill="1" applyBorder="1" applyAlignment="1" applyProtection="1">
      <alignment horizontal="center" vertical="center" wrapText="1"/>
      <protection locked="0"/>
    </xf>
    <xf numFmtId="0" fontId="3" fillId="15" borderId="29" xfId="0" applyFont="1" applyFill="1" applyBorder="1" applyAlignment="1">
      <alignment horizontal="center" vertical="center"/>
    </xf>
    <xf numFmtId="0" fontId="15" fillId="5" borderId="19" xfId="0" applyFont="1" applyFill="1" applyBorder="1" applyAlignment="1">
      <alignment horizontal="center" vertical="center"/>
    </xf>
    <xf numFmtId="212" fontId="0" fillId="5" borderId="11" xfId="0" applyNumberFormat="1" applyFill="1" applyBorder="1" applyAlignment="1" applyProtection="1">
      <alignment horizontal="center" vertical="center"/>
      <protection locked="0"/>
    </xf>
    <xf numFmtId="203" fontId="0" fillId="27" borderId="11" xfId="0" applyNumberFormat="1" applyFill="1" applyBorder="1" applyAlignment="1">
      <alignment horizontal="center" vertical="center"/>
    </xf>
    <xf numFmtId="2" fontId="0" fillId="30" borderId="11" xfId="0" applyNumberFormat="1" applyFill="1" applyBorder="1" applyAlignment="1">
      <alignment horizontal="center" vertical="center"/>
    </xf>
    <xf numFmtId="204" fontId="0" fillId="30" borderId="11" xfId="0" applyNumberFormat="1" applyFill="1" applyBorder="1" applyAlignment="1" applyProtection="1">
      <alignment horizontal="center" vertical="center"/>
      <protection locked="0"/>
    </xf>
    <xf numFmtId="0" fontId="18" fillId="0" borderId="0" xfId="0" applyFont="1" applyAlignment="1">
      <alignment horizontal="center" vertical="center"/>
    </xf>
    <xf numFmtId="0" fontId="24" fillId="0" borderId="0" xfId="0" applyFont="1" applyAlignment="1">
      <alignment horizontal="center" vertical="center"/>
    </xf>
    <xf numFmtId="165" fontId="18" fillId="0" borderId="0" xfId="0" applyNumberFormat="1" applyFont="1" applyAlignment="1">
      <alignment horizontal="center" vertical="center"/>
    </xf>
    <xf numFmtId="215" fontId="0" fillId="18" borderId="11" xfId="0" applyNumberFormat="1" applyFill="1" applyBorder="1" applyAlignment="1">
      <alignment horizontal="center" vertical="center"/>
    </xf>
    <xf numFmtId="216" fontId="0" fillId="18" borderId="11" xfId="0" applyNumberFormat="1" applyFill="1" applyBorder="1" applyAlignment="1">
      <alignment horizontal="center" vertical="center"/>
    </xf>
    <xf numFmtId="0" fontId="3" fillId="6" borderId="14" xfId="0" applyFont="1" applyFill="1" applyBorder="1" applyAlignment="1">
      <alignment horizontal="center" vertical="center"/>
    </xf>
    <xf numFmtId="9" fontId="0" fillId="6" borderId="16" xfId="0" applyNumberFormat="1" applyFill="1" applyBorder="1" applyAlignment="1">
      <alignment horizontal="center" vertical="center"/>
    </xf>
    <xf numFmtId="165" fontId="0" fillId="3" borderId="33" xfId="0" applyNumberFormat="1" applyFill="1" applyBorder="1" applyAlignment="1">
      <alignment horizontal="center" vertical="center"/>
    </xf>
    <xf numFmtId="214" fontId="0" fillId="3" borderId="33" xfId="0" applyNumberFormat="1" applyFill="1" applyBorder="1" applyAlignment="1">
      <alignment horizontal="center" vertical="center"/>
    </xf>
    <xf numFmtId="174" fontId="16" fillId="0" borderId="0" xfId="0" applyNumberFormat="1" applyFont="1" applyAlignment="1">
      <alignment horizontal="center" vertical="center"/>
    </xf>
    <xf numFmtId="0" fontId="0" fillId="11" borderId="28" xfId="0" applyFill="1" applyBorder="1" applyAlignment="1" applyProtection="1">
      <alignment horizontal="center" vertical="center"/>
      <protection locked="0"/>
    </xf>
    <xf numFmtId="173" fontId="0" fillId="11" borderId="28" xfId="0" applyNumberFormat="1" applyFill="1" applyBorder="1" applyAlignment="1" applyProtection="1">
      <alignment horizontal="center" vertical="center"/>
      <protection locked="0"/>
    </xf>
    <xf numFmtId="172" fontId="0" fillId="11" borderId="28" xfId="0" applyNumberFormat="1" applyFill="1" applyBorder="1" applyAlignment="1" applyProtection="1">
      <alignment horizontal="center" vertical="center"/>
      <protection locked="0"/>
    </xf>
    <xf numFmtId="167" fontId="0" fillId="0" borderId="0" xfId="0" applyNumberFormat="1" applyAlignment="1" applyProtection="1">
      <alignment horizontal="center" vertical="center"/>
      <protection locked="0"/>
    </xf>
    <xf numFmtId="173" fontId="0" fillId="0" borderId="0" xfId="0" applyNumberFormat="1" applyAlignment="1" applyProtection="1">
      <alignment horizontal="center" vertical="center"/>
      <protection locked="0"/>
    </xf>
    <xf numFmtId="0" fontId="3" fillId="12" borderId="65" xfId="0" applyFont="1" applyFill="1" applyBorder="1" applyAlignment="1">
      <alignment horizontal="center" vertical="center"/>
    </xf>
    <xf numFmtId="0" fontId="3" fillId="12" borderId="69" xfId="0" applyFont="1" applyFill="1" applyBorder="1" applyAlignment="1">
      <alignment horizontal="center" vertical="center"/>
    </xf>
    <xf numFmtId="2" fontId="0" fillId="3" borderId="70" xfId="0" applyNumberFormat="1" applyFill="1" applyBorder="1" applyAlignment="1">
      <alignment horizontal="center" vertical="center"/>
    </xf>
    <xf numFmtId="0" fontId="3" fillId="3" borderId="71" xfId="0" applyFont="1" applyFill="1" applyBorder="1" applyAlignment="1">
      <alignment horizontal="center" vertical="center"/>
    </xf>
    <xf numFmtId="0" fontId="3" fillId="3" borderId="73" xfId="0" applyFont="1" applyFill="1" applyBorder="1" applyAlignment="1">
      <alignment horizontal="center" vertical="center"/>
    </xf>
    <xf numFmtId="164" fontId="0" fillId="3" borderId="74" xfId="0" applyNumberFormat="1" applyFill="1" applyBorder="1" applyAlignment="1">
      <alignment horizontal="center" vertical="center"/>
    </xf>
    <xf numFmtId="0" fontId="3" fillId="4" borderId="55" xfId="0" applyFont="1" applyFill="1" applyBorder="1" applyAlignment="1">
      <alignment horizontal="center" vertical="center"/>
    </xf>
    <xf numFmtId="0" fontId="3" fillId="4" borderId="58" xfId="0" applyFont="1" applyFill="1" applyBorder="1" applyAlignment="1">
      <alignment horizontal="center" vertical="center"/>
    </xf>
    <xf numFmtId="166" fontId="0" fillId="4" borderId="59" xfId="0" applyNumberFormat="1" applyFill="1" applyBorder="1" applyAlignment="1">
      <alignment horizontal="center" vertical="center"/>
    </xf>
    <xf numFmtId="0" fontId="13" fillId="4" borderId="60" xfId="0" applyFont="1" applyFill="1" applyBorder="1" applyAlignment="1">
      <alignment horizontal="center" vertical="center"/>
    </xf>
    <xf numFmtId="0" fontId="13" fillId="4" borderId="63" xfId="0" applyFont="1" applyFill="1" applyBorder="1" applyAlignment="1">
      <alignment horizontal="center" vertical="center"/>
    </xf>
    <xf numFmtId="179" fontId="3" fillId="4" borderId="61" xfId="0" applyNumberFormat="1" applyFont="1" applyFill="1" applyBorder="1" applyAlignment="1">
      <alignment horizontal="center" vertical="center"/>
    </xf>
    <xf numFmtId="166" fontId="3" fillId="4" borderId="61" xfId="0" applyNumberFormat="1" applyFont="1" applyFill="1" applyBorder="1" applyAlignment="1">
      <alignment horizontal="center" vertical="center"/>
    </xf>
    <xf numFmtId="169" fontId="3" fillId="4" borderId="61" xfId="0" applyNumberFormat="1" applyFont="1" applyFill="1" applyBorder="1" applyAlignment="1">
      <alignment horizontal="center" vertical="center"/>
    </xf>
    <xf numFmtId="166" fontId="3" fillId="4" borderId="64" xfId="0" applyNumberFormat="1" applyFont="1" applyFill="1" applyBorder="1" applyAlignment="1">
      <alignment horizontal="center" vertical="center"/>
    </xf>
    <xf numFmtId="0" fontId="3" fillId="11" borderId="55" xfId="0" applyFont="1" applyFill="1" applyBorder="1" applyAlignment="1">
      <alignment horizontal="center" vertical="center"/>
    </xf>
    <xf numFmtId="0" fontId="3" fillId="11" borderId="58" xfId="0" applyFont="1" applyFill="1" applyBorder="1" applyAlignment="1">
      <alignment horizontal="center" vertical="center"/>
    </xf>
    <xf numFmtId="213" fontId="0" fillId="11" borderId="59" xfId="0" applyNumberFormat="1" applyFill="1" applyBorder="1" applyAlignment="1">
      <alignment horizontal="center" vertical="center"/>
    </xf>
    <xf numFmtId="0" fontId="13" fillId="11" borderId="81" xfId="0" applyFont="1" applyFill="1" applyBorder="1" applyAlignment="1">
      <alignment vertical="center"/>
    </xf>
    <xf numFmtId="0" fontId="22" fillId="11" borderId="82" xfId="0" applyFont="1" applyFill="1" applyBorder="1" applyAlignment="1">
      <alignment horizontal="center" vertical="center"/>
    </xf>
    <xf numFmtId="0" fontId="0" fillId="11" borderId="82" xfId="0" applyFill="1" applyBorder="1" applyAlignment="1">
      <alignment horizontal="center" vertical="center"/>
    </xf>
    <xf numFmtId="173" fontId="0" fillId="11" borderId="82" xfId="0" applyNumberFormat="1" applyFill="1" applyBorder="1" applyAlignment="1">
      <alignment horizontal="center" vertical="center"/>
    </xf>
    <xf numFmtId="172" fontId="0" fillId="11" borderId="82" xfId="0" applyNumberFormat="1" applyFill="1" applyBorder="1" applyAlignment="1">
      <alignment horizontal="center" vertical="center"/>
    </xf>
    <xf numFmtId="178" fontId="0" fillId="11" borderId="83" xfId="0" applyNumberFormat="1" applyFill="1" applyBorder="1" applyAlignment="1">
      <alignment horizontal="center" vertical="center"/>
    </xf>
    <xf numFmtId="0" fontId="0" fillId="4" borderId="50" xfId="0" applyFill="1" applyBorder="1" applyAlignment="1" applyProtection="1">
      <alignment horizontal="center" vertical="center"/>
      <protection locked="0"/>
    </xf>
    <xf numFmtId="0" fontId="13" fillId="4" borderId="54" xfId="0" applyFont="1" applyFill="1" applyBorder="1" applyAlignment="1">
      <alignment horizontal="center" vertical="center"/>
    </xf>
    <xf numFmtId="0" fontId="13" fillId="4" borderId="57" xfId="0" applyFont="1" applyFill="1" applyBorder="1" applyAlignment="1">
      <alignment horizontal="center" vertical="center"/>
    </xf>
    <xf numFmtId="166" fontId="3" fillId="4" borderId="55" xfId="0" applyNumberFormat="1" applyFont="1" applyFill="1" applyBorder="1" applyAlignment="1">
      <alignment horizontal="center" vertical="center"/>
    </xf>
    <xf numFmtId="169" fontId="3" fillId="4" borderId="55" xfId="0" applyNumberFormat="1" applyFont="1" applyFill="1" applyBorder="1" applyAlignment="1">
      <alignment horizontal="center" vertical="center"/>
    </xf>
    <xf numFmtId="166" fontId="3" fillId="4" borderId="58" xfId="0" applyNumberFormat="1" applyFont="1" applyFill="1" applyBorder="1" applyAlignment="1">
      <alignment horizontal="center" vertical="center"/>
    </xf>
    <xf numFmtId="175" fontId="0" fillId="15" borderId="55" xfId="0" applyNumberFormat="1" applyFill="1" applyBorder="1" applyAlignment="1">
      <alignment horizontal="center" vertical="center"/>
    </xf>
    <xf numFmtId="167" fontId="0" fillId="15" borderId="58" xfId="0" applyNumberFormat="1" applyFill="1" applyBorder="1" applyAlignment="1">
      <alignment horizontal="center" vertical="center"/>
    </xf>
    <xf numFmtId="173" fontId="0" fillId="15" borderId="59" xfId="0" applyNumberFormat="1" applyFill="1" applyBorder="1" applyAlignment="1">
      <alignment horizontal="center" vertical="center"/>
    </xf>
    <xf numFmtId="0" fontId="23" fillId="15" borderId="61" xfId="0" applyFont="1" applyFill="1" applyBorder="1" applyAlignment="1">
      <alignment horizontal="center" vertical="center"/>
    </xf>
    <xf numFmtId="167" fontId="0" fillId="15" borderId="61" xfId="0" applyNumberFormat="1" applyFill="1" applyBorder="1" applyAlignment="1">
      <alignment horizontal="center" vertical="center"/>
    </xf>
    <xf numFmtId="173" fontId="0" fillId="15" borderId="61" xfId="0" applyNumberFormat="1" applyFill="1" applyBorder="1" applyAlignment="1" applyProtection="1">
      <alignment horizontal="center" vertical="center"/>
      <protection locked="0"/>
    </xf>
    <xf numFmtId="173" fontId="0" fillId="15" borderId="64" xfId="0" applyNumberFormat="1" applyFill="1" applyBorder="1" applyAlignment="1">
      <alignment horizontal="center" vertical="center"/>
    </xf>
    <xf numFmtId="0" fontId="3" fillId="18" borderId="55" xfId="0" applyFont="1" applyFill="1" applyBorder="1" applyAlignment="1" applyProtection="1">
      <alignment horizontal="center" vertical="center"/>
      <protection locked="0"/>
    </xf>
    <xf numFmtId="0" fontId="3" fillId="18" borderId="56" xfId="0" applyFont="1" applyFill="1" applyBorder="1" applyAlignment="1">
      <alignment horizontal="center" vertical="center"/>
    </xf>
    <xf numFmtId="0" fontId="0" fillId="7" borderId="55" xfId="0" applyFill="1" applyBorder="1" applyAlignment="1" applyProtection="1">
      <alignment horizontal="center" vertical="center" wrapText="1"/>
      <protection locked="0"/>
    </xf>
    <xf numFmtId="208" fontId="15" fillId="7" borderId="64" xfId="0" applyNumberFormat="1" applyFont="1" applyFill="1" applyBorder="1" applyAlignment="1">
      <alignment horizontal="center" vertical="center"/>
    </xf>
    <xf numFmtId="0" fontId="3" fillId="19" borderId="55" xfId="0" applyFont="1" applyFill="1" applyBorder="1" applyAlignment="1">
      <alignment horizontal="center" vertical="center"/>
    </xf>
    <xf numFmtId="171" fontId="3" fillId="19" borderId="55" xfId="0" applyNumberFormat="1" applyFont="1" applyFill="1" applyBorder="1" applyAlignment="1">
      <alignment horizontal="center" vertical="center"/>
    </xf>
    <xf numFmtId="171" fontId="7" fillId="19" borderId="55" xfId="0" applyNumberFormat="1" applyFont="1" applyFill="1" applyBorder="1" applyAlignment="1">
      <alignment horizontal="center" vertical="center"/>
    </xf>
    <xf numFmtId="171" fontId="3" fillId="19" borderId="58" xfId="0" applyNumberFormat="1" applyFont="1" applyFill="1" applyBorder="1" applyAlignment="1">
      <alignment horizontal="center" vertical="center"/>
    </xf>
    <xf numFmtId="168" fontId="0" fillId="19" borderId="59" xfId="0" applyNumberFormat="1" applyFill="1" applyBorder="1" applyAlignment="1" applyProtection="1">
      <alignment horizontal="center" vertical="center"/>
      <protection locked="0"/>
    </xf>
    <xf numFmtId="0" fontId="3" fillId="19" borderId="59" xfId="0" applyFont="1" applyFill="1" applyBorder="1" applyAlignment="1">
      <alignment horizontal="center" vertical="center"/>
    </xf>
    <xf numFmtId="10" fontId="0" fillId="19" borderId="59" xfId="0" applyNumberFormat="1" applyFill="1" applyBorder="1" applyAlignment="1">
      <alignment horizontal="center" vertical="center" wrapText="1"/>
    </xf>
    <xf numFmtId="164" fontId="0" fillId="19" borderId="61" xfId="0" applyNumberFormat="1" applyFill="1" applyBorder="1" applyAlignment="1" applyProtection="1">
      <alignment horizontal="center" vertical="center"/>
      <protection locked="0"/>
    </xf>
    <xf numFmtId="165" fontId="0" fillId="19" borderId="61" xfId="0" applyNumberFormat="1" applyFill="1" applyBorder="1" applyAlignment="1" applyProtection="1">
      <alignment horizontal="center" vertical="center"/>
      <protection locked="0"/>
    </xf>
    <xf numFmtId="10" fontId="0" fillId="19" borderId="61" xfId="0" applyNumberFormat="1" applyFill="1" applyBorder="1" applyAlignment="1" applyProtection="1">
      <alignment horizontal="center" vertical="center" wrapText="1"/>
      <protection locked="0"/>
    </xf>
    <xf numFmtId="10" fontId="0" fillId="19" borderId="64" xfId="0" applyNumberFormat="1" applyFill="1" applyBorder="1" applyAlignment="1">
      <alignment horizontal="center" vertical="center" wrapText="1"/>
    </xf>
    <xf numFmtId="168" fontId="15" fillId="20" borderId="55" xfId="0" applyNumberFormat="1" applyFont="1" applyFill="1" applyBorder="1" applyAlignment="1" applyProtection="1">
      <alignment horizontal="center" vertical="center" wrapText="1"/>
      <protection locked="0"/>
    </xf>
    <xf numFmtId="164" fontId="0" fillId="19" borderId="28" xfId="0" applyNumberFormat="1" applyFill="1" applyBorder="1" applyAlignment="1" applyProtection="1">
      <alignment horizontal="left" vertical="center"/>
      <protection locked="0"/>
    </xf>
    <xf numFmtId="166" fontId="3" fillId="5" borderId="11" xfId="0" applyNumberFormat="1" applyFont="1" applyFill="1" applyBorder="1" applyAlignment="1">
      <alignment horizontal="center" vertical="center"/>
    </xf>
    <xf numFmtId="166" fontId="3" fillId="0" borderId="0" xfId="0" applyNumberFormat="1" applyFont="1" applyAlignment="1">
      <alignment horizontal="center" vertical="center"/>
    </xf>
    <xf numFmtId="213" fontId="0" fillId="0" borderId="0" xfId="0" applyNumberFormat="1" applyAlignment="1">
      <alignment horizontal="center" vertical="center"/>
    </xf>
    <xf numFmtId="178" fontId="0" fillId="0" borderId="0" xfId="0" applyNumberFormat="1" applyAlignment="1">
      <alignment horizontal="center" vertical="center"/>
    </xf>
    <xf numFmtId="0" fontId="21" fillId="0" borderId="0" xfId="0" applyFont="1" applyAlignment="1" applyProtection="1">
      <alignment horizontal="center" vertical="center"/>
      <protection locked="0"/>
    </xf>
    <xf numFmtId="0" fontId="25" fillId="0" borderId="0" xfId="0" applyFont="1" applyAlignment="1" applyProtection="1">
      <alignment horizontal="center" vertical="center"/>
      <protection locked="0"/>
    </xf>
    <xf numFmtId="2" fontId="0" fillId="0" borderId="0" xfId="0" applyNumberFormat="1" applyAlignment="1">
      <alignment horizontal="center" vertical="center"/>
    </xf>
    <xf numFmtId="176" fontId="0" fillId="0" borderId="0" xfId="0" applyNumberFormat="1" applyAlignment="1" applyProtection="1">
      <alignment horizontal="center" vertical="center"/>
      <protection locked="0"/>
    </xf>
    <xf numFmtId="164" fontId="0" fillId="0" borderId="0" xfId="0" applyNumberFormat="1" applyAlignment="1">
      <alignment horizontal="center" vertical="center"/>
    </xf>
    <xf numFmtId="0" fontId="0" fillId="17" borderId="55" xfId="0" applyFill="1" applyBorder="1" applyAlignment="1" applyProtection="1">
      <alignment horizontal="center" vertical="center" wrapText="1"/>
      <protection locked="0"/>
    </xf>
    <xf numFmtId="9" fontId="0" fillId="12" borderId="73" xfId="0" applyNumberFormat="1" applyFill="1" applyBorder="1" applyAlignment="1" applyProtection="1">
      <alignment horizontal="center"/>
      <protection locked="0"/>
    </xf>
    <xf numFmtId="0" fontId="3" fillId="18" borderId="79" xfId="0" applyFont="1" applyFill="1" applyBorder="1" applyAlignment="1">
      <alignment horizontal="center" vertical="center"/>
    </xf>
    <xf numFmtId="0" fontId="3" fillId="20" borderId="28" xfId="0" applyFont="1" applyFill="1" applyBorder="1" applyAlignment="1">
      <alignment vertical="center" wrapText="1"/>
    </xf>
    <xf numFmtId="0" fontId="15" fillId="7" borderId="62" xfId="0" applyFont="1" applyFill="1" applyBorder="1" applyAlignment="1">
      <alignment vertical="center"/>
    </xf>
    <xf numFmtId="0" fontId="15" fillId="7" borderId="72" xfId="0" applyFont="1" applyFill="1" applyBorder="1" applyAlignment="1">
      <alignment vertical="center"/>
    </xf>
    <xf numFmtId="0" fontId="15" fillId="7" borderId="63" xfId="0" applyFont="1" applyFill="1" applyBorder="1" applyAlignment="1">
      <alignment vertical="center"/>
    </xf>
    <xf numFmtId="0" fontId="3" fillId="20" borderId="28" xfId="0" applyFont="1" applyFill="1" applyBorder="1" applyAlignment="1">
      <alignment vertical="center"/>
    </xf>
    <xf numFmtId="175" fontId="0" fillId="15" borderId="29" xfId="0" applyNumberFormat="1" applyFill="1" applyBorder="1" applyAlignment="1">
      <alignment vertical="center"/>
    </xf>
    <xf numFmtId="175" fontId="0" fillId="15" borderId="70" xfId="0" applyNumberFormat="1" applyFill="1" applyBorder="1" applyAlignment="1">
      <alignment vertical="center"/>
    </xf>
    <xf numFmtId="217" fontId="0" fillId="3" borderId="72" xfId="0" applyNumberFormat="1" applyFill="1" applyBorder="1" applyAlignment="1">
      <alignment horizontal="center" vertical="center"/>
    </xf>
    <xf numFmtId="214" fontId="3" fillId="4" borderId="55" xfId="0" applyNumberFormat="1" applyFont="1" applyFill="1" applyBorder="1" applyAlignment="1">
      <alignment horizontal="center" vertical="center"/>
    </xf>
    <xf numFmtId="0" fontId="0" fillId="7" borderId="61" xfId="0" applyFill="1" applyBorder="1" applyAlignment="1">
      <alignment horizontal="center" vertical="center"/>
    </xf>
    <xf numFmtId="0" fontId="0" fillId="0" borderId="5" xfId="0" applyBorder="1" applyAlignment="1" applyProtection="1">
      <alignment horizontal="center" vertical="center"/>
      <protection locked="0"/>
    </xf>
    <xf numFmtId="0" fontId="3" fillId="20" borderId="70" xfId="0" applyFont="1" applyFill="1" applyBorder="1" applyAlignment="1">
      <alignment vertical="center"/>
    </xf>
    <xf numFmtId="0" fontId="0" fillId="0" borderId="0" xfId="0" applyAlignment="1">
      <alignment horizontal="right"/>
    </xf>
    <xf numFmtId="2" fontId="3" fillId="0" borderId="0" xfId="0" applyNumberFormat="1" applyFont="1"/>
    <xf numFmtId="0" fontId="3" fillId="0" borderId="0" xfId="0" applyFont="1" applyAlignment="1">
      <alignment horizontal="right"/>
    </xf>
    <xf numFmtId="0" fontId="3" fillId="0" borderId="0" xfId="0" applyFont="1"/>
    <xf numFmtId="2" fontId="0" fillId="0" borderId="0" xfId="0" applyNumberFormat="1"/>
    <xf numFmtId="164" fontId="5" fillId="0" borderId="0" xfId="0" applyNumberFormat="1" applyFont="1" applyAlignment="1">
      <alignment horizontal="center"/>
    </xf>
    <xf numFmtId="0" fontId="3" fillId="0" borderId="0" xfId="0" applyFont="1" applyAlignment="1">
      <alignment horizontal="left"/>
    </xf>
    <xf numFmtId="0" fontId="2" fillId="0" borderId="0" xfId="0" applyFont="1"/>
    <xf numFmtId="165" fontId="0" fillId="0" borderId="0" xfId="0" applyNumberFormat="1"/>
    <xf numFmtId="174" fontId="0" fillId="20" borderId="62" xfId="0" applyNumberFormat="1" applyFill="1" applyBorder="1" applyAlignment="1">
      <alignment vertical="center"/>
    </xf>
    <xf numFmtId="174" fontId="0" fillId="20" borderId="56" xfId="0" applyNumberFormat="1" applyFill="1" applyBorder="1" applyAlignment="1">
      <alignment horizontal="center" vertical="center"/>
    </xf>
    <xf numFmtId="209" fontId="0" fillId="20" borderId="58" xfId="0" applyNumberFormat="1" applyFill="1" applyBorder="1" applyAlignment="1">
      <alignment horizontal="center" vertical="center"/>
    </xf>
    <xf numFmtId="174" fontId="0" fillId="20" borderId="62" xfId="0" applyNumberFormat="1" applyFill="1" applyBorder="1" applyAlignment="1">
      <alignment horizontal="center" vertical="center"/>
    </xf>
    <xf numFmtId="180" fontId="0" fillId="20" borderId="64" xfId="0" applyNumberFormat="1" applyFill="1" applyBorder="1" applyAlignment="1">
      <alignment horizontal="center" vertical="center"/>
    </xf>
    <xf numFmtId="212" fontId="0" fillId="20" borderId="64" xfId="0" applyNumberFormat="1" applyFill="1" applyBorder="1" applyAlignment="1">
      <alignment horizontal="center" vertical="center"/>
    </xf>
    <xf numFmtId="0" fontId="29" fillId="0" borderId="0" xfId="0" applyFont="1" applyAlignment="1">
      <alignment vertical="center" wrapText="1"/>
    </xf>
    <xf numFmtId="0" fontId="0" fillId="0" borderId="0" xfId="0" applyAlignment="1">
      <alignment vertical="center" wrapText="1"/>
    </xf>
    <xf numFmtId="0" fontId="0" fillId="4" borderId="28" xfId="0" applyFill="1" applyBorder="1" applyAlignment="1">
      <alignment horizontal="center" vertical="center"/>
    </xf>
    <xf numFmtId="0" fontId="0" fillId="4" borderId="49" xfId="0" applyFill="1" applyBorder="1" applyAlignment="1">
      <alignment horizontal="center" vertical="center"/>
    </xf>
    <xf numFmtId="166" fontId="0" fillId="11" borderId="28" xfId="0" applyNumberFormat="1" applyFill="1" applyBorder="1" applyAlignment="1" applyProtection="1">
      <alignment horizontal="center" vertical="center"/>
      <protection locked="0"/>
    </xf>
    <xf numFmtId="171" fontId="0" fillId="5" borderId="11" xfId="0" applyNumberFormat="1" applyFill="1" applyBorder="1" applyAlignment="1">
      <alignment horizontal="center" vertical="center"/>
    </xf>
    <xf numFmtId="10" fontId="0" fillId="4" borderId="49" xfId="1" applyNumberFormat="1" applyFont="1" applyFill="1" applyBorder="1" applyAlignment="1">
      <alignment horizontal="center" vertical="center"/>
    </xf>
    <xf numFmtId="0" fontId="0" fillId="0" borderId="5" xfId="0" applyBorder="1" applyAlignment="1" applyProtection="1">
      <alignment vertical="center"/>
      <protection locked="0"/>
    </xf>
    <xf numFmtId="0" fontId="12" fillId="7" borderId="28" xfId="0" applyFont="1" applyFill="1" applyBorder="1" applyAlignment="1">
      <alignment horizontal="center" vertical="center"/>
    </xf>
    <xf numFmtId="166" fontId="0" fillId="11" borderId="11" xfId="0" applyNumberFormat="1" applyFill="1" applyBorder="1" applyAlignment="1">
      <alignment horizontal="center" vertical="center"/>
    </xf>
    <xf numFmtId="171" fontId="0" fillId="14" borderId="11" xfId="0" applyNumberFormat="1" applyFill="1" applyBorder="1" applyAlignment="1" applyProtection="1">
      <alignment horizontal="center" vertical="center"/>
      <protection locked="0"/>
    </xf>
    <xf numFmtId="1" fontId="0" fillId="14" borderId="11" xfId="0" applyNumberFormat="1" applyFill="1" applyBorder="1" applyAlignment="1" applyProtection="1">
      <alignment horizontal="center" vertical="center"/>
      <protection locked="0"/>
    </xf>
    <xf numFmtId="216" fontId="0" fillId="0" borderId="0" xfId="0" applyNumberFormat="1" applyAlignment="1">
      <alignment horizontal="center" vertical="center"/>
    </xf>
    <xf numFmtId="215" fontId="0" fillId="0" borderId="0" xfId="0" applyNumberFormat="1" applyAlignment="1">
      <alignment horizontal="center" vertical="center"/>
    </xf>
    <xf numFmtId="166" fontId="6" fillId="14" borderId="17" xfId="0" applyNumberFormat="1" applyFont="1" applyFill="1" applyBorder="1" applyAlignment="1">
      <alignment vertical="center"/>
    </xf>
    <xf numFmtId="166" fontId="6" fillId="14" borderId="18" xfId="0" applyNumberFormat="1" applyFont="1" applyFill="1" applyBorder="1" applyAlignment="1">
      <alignment vertical="center"/>
    </xf>
    <xf numFmtId="166" fontId="6" fillId="14" borderId="21" xfId="0" applyNumberFormat="1" applyFont="1" applyFill="1" applyBorder="1" applyAlignment="1">
      <alignment vertical="center"/>
    </xf>
    <xf numFmtId="0" fontId="0" fillId="14" borderId="9" xfId="0" applyFill="1" applyBorder="1"/>
    <xf numFmtId="0" fontId="0" fillId="14" borderId="93" xfId="0" applyFill="1" applyBorder="1"/>
    <xf numFmtId="165" fontId="0" fillId="14" borderId="15" xfId="0" applyNumberFormat="1" applyFill="1" applyBorder="1" applyAlignment="1" applyProtection="1">
      <alignment horizontal="center" vertical="center"/>
      <protection locked="0"/>
    </xf>
    <xf numFmtId="0" fontId="0" fillId="14" borderId="6" xfId="0" applyFill="1" applyBorder="1"/>
    <xf numFmtId="0" fontId="0" fillId="5" borderId="12" xfId="0" applyFill="1" applyBorder="1" applyAlignment="1">
      <alignment horizontal="center" vertical="center" wrapText="1"/>
    </xf>
    <xf numFmtId="0" fontId="0" fillId="5" borderId="93" xfId="0" applyFill="1" applyBorder="1" applyAlignment="1">
      <alignment horizontal="center" vertical="center"/>
    </xf>
    <xf numFmtId="0" fontId="0" fillId="3" borderId="70" xfId="0" applyFill="1" applyBorder="1" applyAlignment="1" applyProtection="1">
      <alignment horizontal="center" vertical="center"/>
      <protection locked="0"/>
    </xf>
    <xf numFmtId="0" fontId="3" fillId="11" borderId="55" xfId="0" applyFont="1" applyFill="1" applyBorder="1" applyAlignment="1">
      <alignment horizontal="center" vertical="center" wrapText="1"/>
    </xf>
    <xf numFmtId="183" fontId="0" fillId="19" borderId="28" xfId="0" applyNumberFormat="1" applyFill="1" applyBorder="1" applyAlignment="1" applyProtection="1">
      <alignment horizontal="left" vertical="center"/>
      <protection locked="0"/>
    </xf>
    <xf numFmtId="175" fontId="0" fillId="0" borderId="0" xfId="0" applyNumberFormat="1" applyAlignment="1" applyProtection="1">
      <alignment horizontal="left" vertical="center"/>
      <protection locked="0"/>
    </xf>
    <xf numFmtId="218" fontId="0" fillId="5" borderId="12" xfId="0" applyNumberFormat="1" applyFill="1" applyBorder="1" applyAlignment="1">
      <alignment horizontal="center" vertical="center"/>
    </xf>
    <xf numFmtId="219" fontId="0" fillId="5" borderId="12" xfId="0" applyNumberFormat="1" applyFill="1" applyBorder="1" applyAlignment="1">
      <alignment horizontal="center" vertical="center"/>
    </xf>
    <xf numFmtId="0" fontId="0" fillId="5" borderId="10" xfId="0" applyFill="1" applyBorder="1" applyAlignment="1">
      <alignment horizontal="center" vertical="center" wrapText="1"/>
    </xf>
    <xf numFmtId="0" fontId="8" fillId="0" borderId="0" xfId="0" applyFont="1" applyAlignment="1">
      <alignment vertical="center"/>
    </xf>
    <xf numFmtId="0" fontId="9" fillId="0" borderId="0" xfId="0" applyFont="1" applyAlignment="1">
      <alignment vertical="center"/>
    </xf>
    <xf numFmtId="0" fontId="3" fillId="11" borderId="10" xfId="0" applyFont="1" applyFill="1" applyBorder="1" applyAlignment="1">
      <alignment horizontal="center" vertical="center" wrapText="1"/>
    </xf>
    <xf numFmtId="0" fontId="0" fillId="11" borderId="12" xfId="0" applyFill="1" applyBorder="1" applyAlignment="1">
      <alignment horizontal="center" vertical="center" wrapText="1"/>
    </xf>
    <xf numFmtId="0" fontId="0" fillId="11" borderId="12" xfId="0" applyFill="1" applyBorder="1" applyAlignment="1">
      <alignment horizontal="center" vertical="center"/>
    </xf>
    <xf numFmtId="0" fontId="12" fillId="11" borderId="15" xfId="0" applyFont="1" applyFill="1" applyBorder="1" applyAlignment="1">
      <alignment horizontal="center" vertical="center"/>
    </xf>
    <xf numFmtId="166" fontId="0" fillId="11" borderId="15" xfId="0" applyNumberFormat="1" applyFill="1" applyBorder="1" applyAlignment="1">
      <alignment horizontal="center" vertical="center"/>
    </xf>
    <xf numFmtId="0" fontId="0" fillId="11" borderId="15" xfId="0" applyFill="1" applyBorder="1" applyAlignment="1">
      <alignment horizontal="center" vertical="center" wrapText="1"/>
    </xf>
    <xf numFmtId="0" fontId="0" fillId="11" borderId="16" xfId="0" applyFill="1" applyBorder="1" applyAlignment="1">
      <alignment horizontal="center" vertical="center" wrapText="1"/>
    </xf>
    <xf numFmtId="0" fontId="10" fillId="0" borderId="0" xfId="0" applyFont="1" applyAlignment="1">
      <alignment horizontal="center" vertical="center" wrapText="1"/>
    </xf>
    <xf numFmtId="0" fontId="3" fillId="11" borderId="14" xfId="0" applyFont="1" applyFill="1" applyBorder="1" applyAlignment="1">
      <alignment horizontal="center" vertical="center" wrapText="1"/>
    </xf>
    <xf numFmtId="0" fontId="4" fillId="0" borderId="0" xfId="0" applyFont="1" applyAlignment="1">
      <alignment wrapText="1"/>
    </xf>
    <xf numFmtId="0" fontId="0" fillId="0" borderId="0" xfId="0" applyAlignment="1">
      <alignment vertical="center"/>
    </xf>
    <xf numFmtId="0" fontId="3" fillId="11" borderId="97" xfId="0" applyFont="1" applyFill="1" applyBorder="1" applyAlignment="1">
      <alignment horizontal="center" vertical="center" wrapText="1"/>
    </xf>
    <xf numFmtId="0" fontId="7" fillId="11" borderId="41" xfId="0" applyFont="1" applyFill="1" applyBorder="1" applyAlignment="1">
      <alignment horizontal="center" vertical="center"/>
    </xf>
    <xf numFmtId="166" fontId="3" fillId="11" borderId="41" xfId="0" applyNumberFormat="1" applyFont="1" applyFill="1" applyBorder="1" applyAlignment="1">
      <alignment horizontal="center" vertical="center" wrapText="1"/>
    </xf>
    <xf numFmtId="0" fontId="3" fillId="11" borderId="41" xfId="0" applyFont="1" applyFill="1" applyBorder="1" applyAlignment="1">
      <alignment horizontal="center" vertical="center"/>
    </xf>
    <xf numFmtId="0" fontId="3" fillId="11" borderId="98" xfId="0" applyFont="1" applyFill="1" applyBorder="1" applyAlignment="1">
      <alignment horizontal="center" vertical="center"/>
    </xf>
    <xf numFmtId="0" fontId="3" fillId="4" borderId="97" xfId="0" applyFont="1" applyFill="1" applyBorder="1" applyAlignment="1">
      <alignment horizontal="center" vertical="center" wrapText="1"/>
    </xf>
    <xf numFmtId="9" fontId="3" fillId="4" borderId="41" xfId="0" applyNumberFormat="1" applyFont="1" applyFill="1" applyBorder="1" applyAlignment="1">
      <alignment horizontal="center" vertical="center" wrapText="1"/>
    </xf>
    <xf numFmtId="0" fontId="3" fillId="4" borderId="41" xfId="0" applyFont="1" applyFill="1" applyBorder="1" applyAlignment="1">
      <alignment horizontal="center" vertical="center" wrapText="1"/>
    </xf>
    <xf numFmtId="0" fontId="3" fillId="4" borderId="42" xfId="0" applyFont="1" applyFill="1" applyBorder="1" applyAlignment="1">
      <alignment horizontal="center" vertical="center" wrapText="1"/>
    </xf>
    <xf numFmtId="0" fontId="3" fillId="2" borderId="37" xfId="0" applyFont="1" applyFill="1" applyBorder="1" applyAlignment="1">
      <alignment horizontal="center" vertical="center" wrapText="1"/>
    </xf>
    <xf numFmtId="0" fontId="3" fillId="2" borderId="99" xfId="0" applyFont="1" applyFill="1" applyBorder="1" applyAlignment="1">
      <alignment horizontal="center" vertical="center" wrapText="1"/>
    </xf>
    <xf numFmtId="9" fontId="3" fillId="2" borderId="100" xfId="0" applyNumberFormat="1" applyFont="1" applyFill="1" applyBorder="1" applyAlignment="1">
      <alignment horizontal="center" vertical="center" wrapText="1"/>
    </xf>
    <xf numFmtId="0" fontId="3" fillId="2" borderId="100" xfId="0" applyFont="1" applyFill="1" applyBorder="1" applyAlignment="1">
      <alignment horizontal="center" vertical="center" wrapText="1"/>
    </xf>
    <xf numFmtId="0" fontId="3" fillId="2" borderId="101" xfId="0" applyFont="1" applyFill="1" applyBorder="1" applyAlignment="1">
      <alignment horizontal="center" vertical="center" wrapText="1"/>
    </xf>
    <xf numFmtId="0" fontId="0" fillId="7" borderId="11" xfId="0" applyFill="1" applyBorder="1" applyAlignment="1">
      <alignment horizontal="center" vertical="center" wrapText="1"/>
    </xf>
    <xf numFmtId="185" fontId="0" fillId="5" borderId="11" xfId="0" applyNumberFormat="1" applyFill="1" applyBorder="1" applyAlignment="1">
      <alignment horizontal="center" vertical="center"/>
    </xf>
    <xf numFmtId="10" fontId="0" fillId="11" borderId="28" xfId="0" applyNumberFormat="1" applyFill="1" applyBorder="1" applyAlignment="1" applyProtection="1">
      <alignment horizontal="center" vertical="center"/>
      <protection locked="0"/>
    </xf>
    <xf numFmtId="0" fontId="32" fillId="11" borderId="10" xfId="0" applyFont="1" applyFill="1" applyBorder="1" applyAlignment="1">
      <alignment horizontal="center" vertical="center" wrapText="1"/>
    </xf>
    <xf numFmtId="0" fontId="33" fillId="11" borderId="11" xfId="0" applyFont="1" applyFill="1" applyBorder="1" applyAlignment="1">
      <alignment horizontal="center" vertical="center"/>
    </xf>
    <xf numFmtId="166" fontId="18" fillId="11" borderId="11" xfId="0" applyNumberFormat="1" applyFont="1" applyFill="1" applyBorder="1" applyAlignment="1">
      <alignment horizontal="center" vertical="center"/>
    </xf>
    <xf numFmtId="0" fontId="18" fillId="11" borderId="11" xfId="0" applyFont="1" applyFill="1" applyBorder="1" applyAlignment="1">
      <alignment horizontal="center" vertical="center" wrapText="1"/>
    </xf>
    <xf numFmtId="0" fontId="18" fillId="11" borderId="12" xfId="0" applyFont="1" applyFill="1" applyBorder="1" applyAlignment="1">
      <alignment horizontal="center" vertical="center" wrapText="1"/>
    </xf>
    <xf numFmtId="2" fontId="3" fillId="4" borderId="55" xfId="0" applyNumberFormat="1" applyFont="1" applyFill="1" applyBorder="1" applyAlignment="1">
      <alignment horizontal="center" vertical="center"/>
    </xf>
    <xf numFmtId="2" fontId="3" fillId="4" borderId="61" xfId="0" applyNumberFormat="1" applyFont="1" applyFill="1" applyBorder="1" applyAlignment="1">
      <alignment horizontal="center" vertical="center"/>
    </xf>
    <xf numFmtId="0" fontId="36" fillId="0" borderId="0" xfId="0" applyFont="1" applyAlignment="1">
      <alignment vertical="center" wrapText="1"/>
    </xf>
    <xf numFmtId="0" fontId="36" fillId="0" borderId="0" xfId="0" applyFont="1"/>
    <xf numFmtId="0" fontId="37" fillId="0" borderId="0" xfId="2"/>
    <xf numFmtId="0" fontId="37" fillId="0" borderId="0" xfId="2" applyAlignment="1">
      <alignment vertical="center" wrapText="1"/>
    </xf>
    <xf numFmtId="0" fontId="35" fillId="0" borderId="0" xfId="0" applyFont="1" applyAlignment="1">
      <alignment horizontal="left" vertical="center" indent="1"/>
    </xf>
    <xf numFmtId="0" fontId="0" fillId="13" borderId="28" xfId="0" applyFill="1" applyBorder="1" applyAlignment="1">
      <alignment horizontal="center" vertical="center"/>
    </xf>
    <xf numFmtId="0" fontId="0" fillId="13" borderId="28" xfId="0" applyFill="1" applyBorder="1" applyAlignment="1" applyProtection="1">
      <alignment horizontal="center" vertical="center" wrapText="1"/>
      <protection locked="0"/>
    </xf>
    <xf numFmtId="0" fontId="18" fillId="0" borderId="0" xfId="0" applyFont="1"/>
    <xf numFmtId="0" fontId="3" fillId="13" borderId="28" xfId="0" applyFont="1" applyFill="1" applyBorder="1" applyAlignment="1">
      <alignment horizontal="left" vertical="center"/>
    </xf>
    <xf numFmtId="0" fontId="0" fillId="13" borderId="11" xfId="0" applyFill="1" applyBorder="1" applyAlignment="1">
      <alignment horizontal="left" vertical="center"/>
    </xf>
    <xf numFmtId="0" fontId="0" fillId="15" borderId="29" xfId="0" applyFill="1" applyBorder="1" applyAlignment="1">
      <alignment horizontal="center" vertical="center"/>
    </xf>
    <xf numFmtId="0" fontId="0" fillId="15" borderId="28" xfId="0" applyFill="1" applyBorder="1" applyAlignment="1">
      <alignment horizontal="center" vertical="center"/>
    </xf>
    <xf numFmtId="0" fontId="3" fillId="15" borderId="29" xfId="0" applyFont="1" applyFill="1" applyBorder="1" applyAlignment="1">
      <alignment horizontal="right" vertical="center"/>
    </xf>
    <xf numFmtId="2" fontId="3" fillId="14" borderId="11" xfId="0" applyNumberFormat="1" applyFont="1" applyFill="1" applyBorder="1" applyAlignment="1">
      <alignment horizontal="center" vertical="center"/>
    </xf>
    <xf numFmtId="175" fontId="3" fillId="14" borderId="11" xfId="0" applyNumberFormat="1" applyFont="1" applyFill="1" applyBorder="1" applyAlignment="1">
      <alignment horizontal="center" vertical="center"/>
    </xf>
    <xf numFmtId="209" fontId="3" fillId="14" borderId="11" xfId="0" applyNumberFormat="1" applyFont="1" applyFill="1" applyBorder="1" applyAlignment="1">
      <alignment horizontal="center" vertical="center"/>
    </xf>
    <xf numFmtId="220" fontId="0" fillId="13" borderId="28" xfId="0" applyNumberFormat="1" applyFill="1" applyBorder="1" applyAlignment="1" applyProtection="1">
      <alignment horizontal="center" vertical="center"/>
      <protection locked="0"/>
    </xf>
    <xf numFmtId="0" fontId="38" fillId="0" borderId="0" xfId="0" applyFont="1"/>
    <xf numFmtId="0" fontId="18" fillId="13" borderId="28" xfId="0" applyFont="1" applyFill="1" applyBorder="1" applyAlignment="1" applyProtection="1">
      <alignment horizontal="center" vertical="center" wrapText="1"/>
      <protection locked="0"/>
    </xf>
    <xf numFmtId="0" fontId="13" fillId="13" borderId="102" xfId="0" applyFont="1" applyFill="1" applyBorder="1" applyAlignment="1">
      <alignment vertical="center" wrapText="1"/>
    </xf>
    <xf numFmtId="0" fontId="13" fillId="13" borderId="103" xfId="0" applyFont="1" applyFill="1" applyBorder="1" applyAlignment="1">
      <alignment vertical="center" wrapText="1"/>
    </xf>
    <xf numFmtId="0" fontId="32" fillId="0" borderId="0" xfId="0" applyFont="1"/>
    <xf numFmtId="17" fontId="18" fillId="0" borderId="0" xfId="0" applyNumberFormat="1" applyFont="1"/>
    <xf numFmtId="0" fontId="32" fillId="32" borderId="10" xfId="0" applyFont="1" applyFill="1" applyBorder="1" applyAlignment="1">
      <alignment horizontal="center" vertical="center" wrapText="1"/>
    </xf>
    <xf numFmtId="0" fontId="32" fillId="13" borderId="11" xfId="0" applyFont="1" applyFill="1" applyBorder="1" applyAlignment="1">
      <alignment horizontal="center" vertical="center" wrapText="1"/>
    </xf>
    <xf numFmtId="0" fontId="32" fillId="13" borderId="28" xfId="0" applyFont="1" applyFill="1" applyBorder="1" applyAlignment="1">
      <alignment horizontal="center" vertical="center" wrapText="1"/>
    </xf>
    <xf numFmtId="0" fontId="32" fillId="13" borderId="45" xfId="0" applyFont="1" applyFill="1" applyBorder="1" applyAlignment="1">
      <alignment horizontal="center" vertical="center" wrapText="1"/>
    </xf>
    <xf numFmtId="166" fontId="32" fillId="13" borderId="11" xfId="0" applyNumberFormat="1" applyFont="1" applyFill="1" applyBorder="1" applyAlignment="1">
      <alignment horizontal="center" vertical="center" wrapText="1"/>
    </xf>
    <xf numFmtId="0" fontId="32" fillId="32" borderId="23" xfId="0" applyFont="1" applyFill="1" applyBorder="1" applyAlignment="1">
      <alignment horizontal="center" vertical="center" wrapText="1"/>
    </xf>
    <xf numFmtId="0" fontId="18" fillId="13" borderId="11" xfId="0" applyFont="1" applyFill="1" applyBorder="1" applyAlignment="1">
      <alignment horizontal="center" vertical="center" wrapText="1"/>
    </xf>
    <xf numFmtId="164" fontId="18" fillId="13" borderId="28" xfId="0" applyNumberFormat="1" applyFont="1" applyFill="1" applyBorder="1" applyAlignment="1">
      <alignment horizontal="center" vertical="center" wrapText="1"/>
    </xf>
    <xf numFmtId="181" fontId="18" fillId="13" borderId="28" xfId="0" applyNumberFormat="1" applyFont="1" applyFill="1" applyBorder="1" applyAlignment="1">
      <alignment horizontal="center" vertical="center"/>
    </xf>
    <xf numFmtId="181" fontId="18" fillId="13" borderId="25" xfId="0" applyNumberFormat="1" applyFont="1" applyFill="1" applyBorder="1" applyAlignment="1">
      <alignment horizontal="center" vertical="center"/>
    </xf>
    <xf numFmtId="219" fontId="18" fillId="13" borderId="11" xfId="0" applyNumberFormat="1" applyFont="1" applyFill="1" applyBorder="1" applyAlignment="1">
      <alignment horizontal="center" vertical="center"/>
    </xf>
    <xf numFmtId="0" fontId="18" fillId="13" borderId="11" xfId="0" applyFont="1" applyFill="1" applyBorder="1" applyAlignment="1">
      <alignment horizontal="center" vertical="center"/>
    </xf>
    <xf numFmtId="0" fontId="18" fillId="13" borderId="11" xfId="0" applyFont="1" applyFill="1" applyBorder="1" applyAlignment="1" applyProtection="1">
      <alignment horizontal="center" vertical="center" wrapText="1"/>
      <protection locked="0"/>
    </xf>
    <xf numFmtId="0" fontId="32" fillId="13" borderId="11" xfId="0" applyFont="1" applyFill="1" applyBorder="1" applyAlignment="1" applyProtection="1">
      <alignment horizontal="center" vertical="center" wrapText="1"/>
      <protection locked="0"/>
    </xf>
    <xf numFmtId="0" fontId="18" fillId="13" borderId="11" xfId="0" applyFont="1" applyFill="1" applyBorder="1" applyAlignment="1" applyProtection="1">
      <alignment horizontal="center" vertical="center"/>
      <protection locked="0"/>
    </xf>
    <xf numFmtId="0" fontId="32" fillId="13" borderId="11" xfId="0" applyFont="1" applyFill="1" applyBorder="1" applyAlignment="1" applyProtection="1">
      <alignment horizontal="center" vertical="center"/>
      <protection locked="0"/>
    </xf>
    <xf numFmtId="181" fontId="18" fillId="13" borderId="11" xfId="0" applyNumberFormat="1" applyFont="1" applyFill="1" applyBorder="1" applyAlignment="1">
      <alignment horizontal="center" vertical="center" wrapText="1"/>
    </xf>
    <xf numFmtId="164" fontId="18" fillId="13" borderId="11" xfId="0" applyNumberFormat="1" applyFont="1" applyFill="1" applyBorder="1" applyAlignment="1">
      <alignment horizontal="center" vertical="center" wrapText="1"/>
    </xf>
    <xf numFmtId="49" fontId="32" fillId="0" borderId="0" xfId="0" applyNumberFormat="1" applyFont="1"/>
    <xf numFmtId="221" fontId="18" fillId="0" borderId="0" xfId="0" applyNumberFormat="1" applyFont="1"/>
    <xf numFmtId="0" fontId="31" fillId="0" borderId="0" xfId="0" applyFont="1" applyAlignment="1">
      <alignment vertical="center" wrapText="1"/>
    </xf>
    <xf numFmtId="0" fontId="41" fillId="33" borderId="0" xfId="0" applyFont="1" applyFill="1" applyAlignment="1">
      <alignment vertical="top" wrapText="1" indent="1"/>
    </xf>
    <xf numFmtId="0" fontId="3" fillId="22" borderId="58" xfId="0" applyFont="1" applyFill="1" applyBorder="1" applyAlignment="1">
      <alignment horizontal="center" vertical="center"/>
    </xf>
    <xf numFmtId="0" fontId="0" fillId="22" borderId="59" xfId="0" applyFill="1" applyBorder="1" applyAlignment="1" applyProtection="1">
      <alignment horizontal="center" vertical="center"/>
      <protection locked="0"/>
    </xf>
    <xf numFmtId="0" fontId="0" fillId="22" borderId="64" xfId="0" applyFill="1" applyBorder="1" applyAlignment="1" applyProtection="1">
      <alignment horizontal="center" vertical="center"/>
      <protection locked="0"/>
    </xf>
    <xf numFmtId="166" fontId="0" fillId="5" borderId="11" xfId="0" applyNumberFormat="1" applyFill="1" applyBorder="1" applyAlignment="1">
      <alignment horizontal="left" vertical="center"/>
    </xf>
    <xf numFmtId="0" fontId="5" fillId="0" borderId="0" xfId="0" applyFont="1"/>
    <xf numFmtId="0" fontId="0" fillId="23" borderId="0" xfId="0" applyFill="1"/>
    <xf numFmtId="0" fontId="21" fillId="23" borderId="0" xfId="0" applyFont="1" applyFill="1" applyAlignment="1" applyProtection="1">
      <alignment horizontal="center" vertical="center"/>
      <protection locked="0"/>
    </xf>
    <xf numFmtId="0" fontId="25" fillId="23" borderId="0" xfId="0" applyFont="1" applyFill="1" applyAlignment="1" applyProtection="1">
      <alignment horizontal="center" vertical="center"/>
      <protection locked="0"/>
    </xf>
    <xf numFmtId="0" fontId="3" fillId="23" borderId="0" xfId="0" applyFont="1" applyFill="1" applyAlignment="1">
      <alignment horizontal="center" vertical="center"/>
    </xf>
    <xf numFmtId="2" fontId="0" fillId="23" borderId="0" xfId="0" applyNumberFormat="1" applyFill="1" applyAlignment="1">
      <alignment horizontal="center" vertical="center"/>
    </xf>
    <xf numFmtId="176" fontId="0" fillId="23" borderId="0" xfId="0" applyNumberFormat="1" applyFill="1" applyAlignment="1" applyProtection="1">
      <alignment horizontal="center" vertical="center"/>
      <protection locked="0"/>
    </xf>
    <xf numFmtId="164" fontId="0" fillId="23" borderId="0" xfId="0" applyNumberFormat="1" applyFill="1" applyAlignment="1">
      <alignment horizontal="center" vertical="center"/>
    </xf>
    <xf numFmtId="174" fontId="16" fillId="23" borderId="0" xfId="0" applyNumberFormat="1" applyFont="1" applyFill="1" applyAlignment="1">
      <alignment horizontal="center" vertical="center"/>
    </xf>
    <xf numFmtId="166" fontId="0" fillId="23" borderId="0" xfId="0" applyNumberFormat="1" applyFill="1" applyAlignment="1">
      <alignment horizontal="center" vertical="center"/>
    </xf>
    <xf numFmtId="166" fontId="3" fillId="23" borderId="0" xfId="0" applyNumberFormat="1" applyFont="1" applyFill="1" applyAlignment="1">
      <alignment horizontal="center" vertical="center"/>
    </xf>
    <xf numFmtId="0" fontId="0" fillId="23" borderId="0" xfId="0" applyFill="1" applyAlignment="1" applyProtection="1">
      <alignment horizontal="center" vertical="center"/>
      <protection locked="0"/>
    </xf>
    <xf numFmtId="213" fontId="0" fillId="23" borderId="0" xfId="0" applyNumberFormat="1" applyFill="1" applyAlignment="1">
      <alignment horizontal="center" vertical="center"/>
    </xf>
    <xf numFmtId="178" fontId="0" fillId="23" borderId="0" xfId="0" applyNumberFormat="1" applyFill="1" applyAlignment="1">
      <alignment horizontal="center" vertical="center"/>
    </xf>
    <xf numFmtId="0" fontId="0" fillId="23" borderId="5" xfId="0" applyFill="1" applyBorder="1" applyAlignment="1" applyProtection="1">
      <alignment vertical="center"/>
      <protection locked="0"/>
    </xf>
    <xf numFmtId="0" fontId="0" fillId="23" borderId="5" xfId="0" applyFill="1" applyBorder="1" applyAlignment="1" applyProtection="1">
      <alignment horizontal="center" vertical="center"/>
      <protection locked="0"/>
    </xf>
    <xf numFmtId="167" fontId="0" fillId="23" borderId="0" xfId="0" applyNumberFormat="1" applyFill="1" applyAlignment="1" applyProtection="1">
      <alignment horizontal="center" vertical="center"/>
      <protection locked="0"/>
    </xf>
    <xf numFmtId="173" fontId="0" fillId="23" borderId="0" xfId="0" applyNumberFormat="1" applyFill="1" applyAlignment="1" applyProtection="1">
      <alignment horizontal="center" vertical="center"/>
      <protection locked="0"/>
    </xf>
    <xf numFmtId="175" fontId="0" fillId="23" borderId="0" xfId="0" applyNumberFormat="1" applyFill="1" applyAlignment="1" applyProtection="1">
      <alignment horizontal="left" vertical="center"/>
      <protection locked="0"/>
    </xf>
    <xf numFmtId="175" fontId="0" fillId="23" borderId="0" xfId="0" applyNumberFormat="1" applyFill="1" applyAlignment="1" applyProtection="1">
      <alignment horizontal="center" vertical="center"/>
      <protection locked="0"/>
    </xf>
    <xf numFmtId="171" fontId="0" fillId="23" borderId="0" xfId="0" applyNumberFormat="1" applyFill="1" applyAlignment="1" applyProtection="1">
      <alignment horizontal="center" vertical="center"/>
      <protection locked="0"/>
    </xf>
    <xf numFmtId="165" fontId="0" fillId="19" borderId="28" xfId="0" applyNumberFormat="1" applyFill="1" applyBorder="1" applyAlignment="1" applyProtection="1">
      <alignment horizontal="center"/>
      <protection locked="0"/>
    </xf>
    <xf numFmtId="165" fontId="0" fillId="19" borderId="61" xfId="0" applyNumberFormat="1" applyFill="1" applyBorder="1" applyAlignment="1" applyProtection="1">
      <alignment horizontal="center"/>
      <protection locked="0"/>
    </xf>
    <xf numFmtId="0" fontId="2" fillId="23" borderId="0" xfId="0" applyFont="1" applyFill="1" applyAlignment="1" applyProtection="1">
      <alignment horizontal="left" vertical="center"/>
      <protection locked="0"/>
    </xf>
    <xf numFmtId="0" fontId="3" fillId="0" borderId="0" xfId="0" applyFont="1" applyAlignment="1">
      <alignment vertical="center"/>
    </xf>
    <xf numFmtId="0" fontId="3" fillId="11" borderId="0" xfId="0" applyFont="1" applyFill="1" applyAlignment="1">
      <alignment horizontal="center" vertical="center"/>
    </xf>
    <xf numFmtId="0" fontId="3" fillId="11" borderId="0" xfId="0" applyFont="1" applyFill="1" applyAlignment="1">
      <alignment horizontal="center" vertical="center" wrapText="1"/>
    </xf>
    <xf numFmtId="0" fontId="0" fillId="11" borderId="0" xfId="0" applyFill="1" applyAlignment="1" applyProtection="1">
      <alignment horizontal="center" vertical="center"/>
      <protection locked="0"/>
    </xf>
    <xf numFmtId="166" fontId="0" fillId="11" borderId="0" xfId="0" applyNumberFormat="1" applyFill="1" applyAlignment="1" applyProtection="1">
      <alignment horizontal="center" vertical="center"/>
      <protection locked="0"/>
    </xf>
    <xf numFmtId="173" fontId="0" fillId="11" borderId="0" xfId="0" applyNumberFormat="1" applyFill="1" applyAlignment="1" applyProtection="1">
      <alignment horizontal="center" vertical="center"/>
      <protection locked="0"/>
    </xf>
    <xf numFmtId="172" fontId="0" fillId="11" borderId="0" xfId="0" applyNumberFormat="1" applyFill="1" applyAlignment="1" applyProtection="1">
      <alignment horizontal="center" vertical="center"/>
      <protection locked="0"/>
    </xf>
    <xf numFmtId="213" fontId="0" fillId="11" borderId="0" xfId="0" applyNumberFormat="1" applyFill="1" applyAlignment="1">
      <alignment horizontal="center" vertical="center"/>
    </xf>
    <xf numFmtId="0" fontId="42" fillId="0" borderId="0" xfId="0" applyFont="1" applyAlignment="1">
      <alignment vertical="center"/>
    </xf>
    <xf numFmtId="0" fontId="0" fillId="0" borderId="0" xfId="0" applyAlignment="1">
      <alignment horizontal="left" vertical="center" indent="1"/>
    </xf>
    <xf numFmtId="0" fontId="0" fillId="13" borderId="33" xfId="0" applyFill="1" applyBorder="1" applyAlignment="1" applyProtection="1">
      <alignment vertical="center" wrapText="1"/>
      <protection locked="0"/>
    </xf>
    <xf numFmtId="0" fontId="0" fillId="13" borderId="30" xfId="0" applyFill="1" applyBorder="1" applyAlignment="1" applyProtection="1">
      <alignment vertical="center" wrapText="1"/>
      <protection locked="0"/>
    </xf>
    <xf numFmtId="0" fontId="0" fillId="13" borderId="103" xfId="0" applyFill="1" applyBorder="1" applyAlignment="1">
      <alignment horizontal="left" vertical="center" wrapText="1"/>
    </xf>
    <xf numFmtId="0" fontId="0" fillId="13" borderId="29" xfId="0" applyFill="1" applyBorder="1" applyAlignment="1" applyProtection="1">
      <alignment horizontal="left" vertical="center" wrapText="1"/>
      <protection locked="0"/>
    </xf>
    <xf numFmtId="0" fontId="44" fillId="0" borderId="0" xfId="0" applyFont="1" applyAlignment="1">
      <alignment horizontal="center" vertical="center" wrapText="1"/>
    </xf>
    <xf numFmtId="9" fontId="43" fillId="0" borderId="0" xfId="0" applyNumberFormat="1" applyFont="1" applyAlignment="1">
      <alignment vertical="top" wrapText="1"/>
    </xf>
    <xf numFmtId="0" fontId="43" fillId="0" borderId="0" xfId="0" applyFont="1" applyAlignment="1">
      <alignment horizontal="center" vertical="center" wrapText="1"/>
    </xf>
    <xf numFmtId="17" fontId="45" fillId="0" borderId="0" xfId="0" applyNumberFormat="1" applyFont="1" applyAlignment="1">
      <alignment horizontal="center" vertical="center" wrapText="1"/>
    </xf>
    <xf numFmtId="0" fontId="44" fillId="0" borderId="0" xfId="0" applyFont="1" applyAlignment="1">
      <alignment vertical="center" wrapText="1"/>
    </xf>
    <xf numFmtId="0" fontId="0" fillId="4" borderId="50" xfId="0" applyFill="1" applyBorder="1" applyAlignment="1">
      <alignment horizontal="center" vertical="center"/>
    </xf>
    <xf numFmtId="169" fontId="0" fillId="4" borderId="50" xfId="0" applyNumberFormat="1" applyFill="1" applyBorder="1" applyAlignment="1" applyProtection="1">
      <alignment horizontal="center" vertical="center"/>
      <protection locked="0"/>
    </xf>
    <xf numFmtId="0" fontId="0" fillId="4" borderId="61" xfId="0" applyFill="1" applyBorder="1" applyAlignment="1" applyProtection="1">
      <alignment horizontal="center" vertical="center"/>
      <protection locked="0"/>
    </xf>
    <xf numFmtId="0" fontId="0" fillId="4" borderId="61" xfId="0" applyFill="1" applyBorder="1" applyAlignment="1">
      <alignment horizontal="center" vertical="center"/>
    </xf>
    <xf numFmtId="10" fontId="0" fillId="4" borderId="86" xfId="1" applyNumberFormat="1" applyFont="1" applyFill="1" applyBorder="1" applyAlignment="1">
      <alignment horizontal="center" vertical="center"/>
    </xf>
    <xf numFmtId="2" fontId="0" fillId="4" borderId="86" xfId="0" applyNumberFormat="1" applyFill="1" applyBorder="1" applyAlignment="1">
      <alignment horizontal="center" vertical="center"/>
    </xf>
    <xf numFmtId="169" fontId="0" fillId="4" borderId="61" xfId="0" applyNumberFormat="1" applyFill="1" applyBorder="1" applyAlignment="1" applyProtection="1">
      <alignment horizontal="center" vertical="center"/>
      <protection locked="0"/>
    </xf>
    <xf numFmtId="0" fontId="0" fillId="23" borderId="0" xfId="0" applyFill="1" applyAlignment="1">
      <alignment horizontal="right"/>
    </xf>
    <xf numFmtId="0" fontId="0" fillId="11" borderId="28" xfId="0" applyFill="1" applyBorder="1" applyAlignment="1" applyProtection="1">
      <alignment vertical="center"/>
      <protection locked="0"/>
    </xf>
    <xf numFmtId="0" fontId="46" fillId="0" borderId="0" xfId="0" applyFont="1" applyAlignment="1">
      <alignment horizontal="left" vertical="center"/>
    </xf>
    <xf numFmtId="0" fontId="0" fillId="0" borderId="0" xfId="0" applyAlignment="1">
      <alignment horizontal="left" vertical="center" wrapText="1"/>
    </xf>
    <xf numFmtId="0" fontId="47" fillId="0" borderId="0" xfId="0" applyFont="1" applyAlignment="1">
      <alignment horizontal="left" vertical="center" wrapText="1"/>
    </xf>
    <xf numFmtId="0" fontId="48" fillId="0" borderId="0" xfId="0" applyFont="1" applyAlignment="1">
      <alignment horizontal="left" vertical="center" wrapText="1"/>
    </xf>
    <xf numFmtId="169" fontId="3" fillId="34" borderId="11" xfId="0" applyNumberFormat="1" applyFont="1" applyFill="1" applyBorder="1" applyAlignment="1">
      <alignment horizontal="center" vertical="center"/>
    </xf>
    <xf numFmtId="223" fontId="3" fillId="34" borderId="11" xfId="0" applyNumberFormat="1" applyFont="1" applyFill="1" applyBorder="1" applyAlignment="1">
      <alignment horizontal="center" vertical="center"/>
    </xf>
    <xf numFmtId="223" fontId="3" fillId="34" borderId="46" xfId="1" applyNumberFormat="1" applyFont="1" applyFill="1" applyBorder="1" applyAlignment="1">
      <alignment horizontal="center" vertical="center"/>
    </xf>
    <xf numFmtId="0" fontId="0" fillId="22" borderId="29" xfId="0" applyFill="1" applyBorder="1" applyAlignment="1" applyProtection="1">
      <alignment horizontal="center" vertical="center"/>
      <protection locked="0"/>
    </xf>
    <xf numFmtId="0" fontId="0" fillId="22" borderId="33" xfId="0" applyFill="1" applyBorder="1" applyAlignment="1" applyProtection="1">
      <alignment horizontal="center" vertical="center"/>
      <protection locked="0"/>
    </xf>
    <xf numFmtId="0" fontId="0" fillId="22" borderId="62" xfId="0" applyFill="1" applyBorder="1" applyAlignment="1" applyProtection="1">
      <alignment horizontal="center" vertical="center"/>
      <protection locked="0"/>
    </xf>
    <xf numFmtId="0" fontId="0" fillId="22" borderId="72" xfId="0" applyFill="1" applyBorder="1" applyAlignment="1" applyProtection="1">
      <alignment horizontal="center" vertical="center"/>
      <protection locked="0"/>
    </xf>
    <xf numFmtId="166" fontId="0" fillId="5" borderId="19" xfId="0" applyNumberFormat="1" applyFill="1" applyBorder="1" applyAlignment="1">
      <alignment horizontal="center" vertical="center"/>
    </xf>
    <xf numFmtId="0" fontId="3" fillId="22" borderId="56" xfId="0" applyFont="1" applyFill="1" applyBorder="1" applyAlignment="1">
      <alignment horizontal="center" vertical="center"/>
    </xf>
    <xf numFmtId="0" fontId="49" fillId="0" borderId="0" xfId="0" applyFont="1" applyAlignment="1">
      <alignment horizontal="left" vertical="center" wrapText="1" readingOrder="1"/>
    </xf>
    <xf numFmtId="0" fontId="43" fillId="0" borderId="0" xfId="0" applyFont="1" applyAlignment="1">
      <alignment horizontal="left" vertical="center" wrapText="1" readingOrder="1"/>
    </xf>
    <xf numFmtId="0" fontId="50" fillId="23" borderId="0" xfId="0" applyFont="1" applyFill="1"/>
    <xf numFmtId="0" fontId="19" fillId="32" borderId="94" xfId="0" applyFont="1" applyFill="1" applyBorder="1" applyAlignment="1">
      <alignment vertical="center"/>
    </xf>
    <xf numFmtId="0" fontId="18" fillId="32" borderId="24" xfId="0" applyFont="1" applyFill="1" applyBorder="1" applyAlignment="1">
      <alignment vertical="center" wrapText="1"/>
    </xf>
    <xf numFmtId="0" fontId="32" fillId="32" borderId="24" xfId="0" applyFont="1" applyFill="1" applyBorder="1" applyAlignment="1">
      <alignment horizontal="center" vertical="center" wrapText="1"/>
    </xf>
    <xf numFmtId="0" fontId="18" fillId="32" borderId="107" xfId="0" applyFont="1" applyFill="1" applyBorder="1" applyAlignment="1">
      <alignment horizontal="center" vertical="center" wrapText="1"/>
    </xf>
    <xf numFmtId="0" fontId="32" fillId="32" borderId="106" xfId="0" applyFont="1" applyFill="1" applyBorder="1" applyAlignment="1">
      <alignment horizontal="center" vertical="center" wrapText="1"/>
    </xf>
    <xf numFmtId="171" fontId="0" fillId="19" borderId="28" xfId="0" applyNumberFormat="1" applyFill="1" applyBorder="1" applyAlignment="1" applyProtection="1">
      <alignment horizontal="center"/>
      <protection locked="0"/>
    </xf>
    <xf numFmtId="168" fontId="0" fillId="19" borderId="28" xfId="0" applyNumberFormat="1" applyFill="1" applyBorder="1" applyAlignment="1" applyProtection="1">
      <alignment horizontal="left" vertical="center"/>
      <protection locked="0"/>
    </xf>
    <xf numFmtId="0" fontId="0" fillId="19" borderId="28" xfId="0" applyFill="1" applyBorder="1" applyAlignment="1">
      <alignment horizontal="left" vertical="center"/>
    </xf>
    <xf numFmtId="165" fontId="0" fillId="19" borderId="28" xfId="0" applyNumberFormat="1" applyFill="1" applyBorder="1" applyAlignment="1" applyProtection="1">
      <alignment horizontal="left"/>
      <protection locked="0"/>
    </xf>
    <xf numFmtId="171" fontId="0" fillId="19" borderId="28" xfId="0" applyNumberFormat="1" applyFill="1" applyBorder="1" applyAlignment="1" applyProtection="1">
      <alignment horizontal="left" vertical="center"/>
      <protection locked="0"/>
    </xf>
    <xf numFmtId="0" fontId="0" fillId="19" borderId="28" xfId="0" applyFill="1" applyBorder="1" applyAlignment="1">
      <alignment horizontal="center" vertical="center"/>
    </xf>
    <xf numFmtId="171" fontId="0" fillId="19" borderId="28" xfId="0" applyNumberFormat="1" applyFill="1" applyBorder="1" applyAlignment="1">
      <alignment horizontal="center" vertical="center"/>
    </xf>
    <xf numFmtId="2" fontId="3" fillId="35" borderId="11" xfId="0" applyNumberFormat="1" applyFont="1" applyFill="1" applyBorder="1" applyAlignment="1">
      <alignment horizontal="center" vertical="center"/>
    </xf>
    <xf numFmtId="14" fontId="3" fillId="35" borderId="11" xfId="0" applyNumberFormat="1" applyFont="1" applyFill="1" applyBorder="1" applyAlignment="1">
      <alignment horizontal="center" vertical="center"/>
    </xf>
    <xf numFmtId="171" fontId="3" fillId="35" borderId="11" xfId="0" applyNumberFormat="1" applyFont="1" applyFill="1" applyBorder="1" applyAlignment="1">
      <alignment horizontal="center" vertical="center"/>
    </xf>
    <xf numFmtId="2" fontId="3" fillId="35" borderId="12" xfId="0" applyNumberFormat="1" applyFont="1" applyFill="1" applyBorder="1" applyAlignment="1">
      <alignment horizontal="center" vertical="center"/>
    </xf>
    <xf numFmtId="2" fontId="3" fillId="14" borderId="12" xfId="0" applyNumberFormat="1" applyFont="1" applyFill="1" applyBorder="1" applyAlignment="1">
      <alignment horizontal="center" vertical="center"/>
    </xf>
    <xf numFmtId="175" fontId="3" fillId="14" borderId="12" xfId="0" applyNumberFormat="1" applyFont="1" applyFill="1" applyBorder="1" applyAlignment="1">
      <alignment horizontal="center" vertical="center"/>
    </xf>
    <xf numFmtId="209" fontId="3" fillId="14" borderId="16" xfId="0" applyNumberFormat="1" applyFont="1" applyFill="1" applyBorder="1" applyAlignment="1">
      <alignment horizontal="center" vertical="center"/>
    </xf>
    <xf numFmtId="169" fontId="3" fillId="34" borderId="12" xfId="0" applyNumberFormat="1" applyFont="1" applyFill="1" applyBorder="1" applyAlignment="1">
      <alignment horizontal="center" vertical="center"/>
    </xf>
    <xf numFmtId="223" fontId="3" fillId="34" borderId="12" xfId="0" applyNumberFormat="1" applyFont="1" applyFill="1" applyBorder="1" applyAlignment="1">
      <alignment horizontal="center" vertical="center"/>
    </xf>
    <xf numFmtId="223" fontId="3" fillId="34" borderId="110" xfId="1" applyNumberFormat="1" applyFont="1" applyFill="1" applyBorder="1" applyAlignment="1">
      <alignment horizontal="center" vertical="center"/>
    </xf>
    <xf numFmtId="165" fontId="0" fillId="18" borderId="12" xfId="0" applyNumberFormat="1" applyFill="1" applyBorder="1" applyAlignment="1" applyProtection="1">
      <alignment horizontal="center" vertical="center"/>
      <protection locked="0"/>
    </xf>
    <xf numFmtId="197" fontId="0" fillId="18" borderId="12" xfId="0" applyNumberFormat="1" applyFill="1" applyBorder="1" applyAlignment="1" applyProtection="1">
      <alignment horizontal="center" vertical="center"/>
      <protection locked="0"/>
    </xf>
    <xf numFmtId="0" fontId="0" fillId="18" borderId="12" xfId="0" applyFill="1" applyBorder="1" applyAlignment="1" applyProtection="1">
      <alignment horizontal="center" vertical="center"/>
      <protection locked="0"/>
    </xf>
    <xf numFmtId="216" fontId="0" fillId="18" borderId="12" xfId="0" applyNumberFormat="1" applyFill="1" applyBorder="1" applyAlignment="1">
      <alignment horizontal="center" vertical="center"/>
    </xf>
    <xf numFmtId="215" fontId="0" fillId="18" borderId="12" xfId="0" applyNumberFormat="1" applyFill="1" applyBorder="1" applyAlignment="1">
      <alignment horizontal="center" vertical="center"/>
    </xf>
    <xf numFmtId="2" fontId="0" fillId="18" borderId="12" xfId="0" applyNumberFormat="1" applyFill="1" applyBorder="1" applyAlignment="1">
      <alignment horizontal="center" vertical="center"/>
    </xf>
    <xf numFmtId="165" fontId="0" fillId="18" borderId="16" xfId="0" applyNumberFormat="1" applyFill="1" applyBorder="1" applyAlignment="1">
      <alignment horizontal="center" vertical="center"/>
    </xf>
    <xf numFmtId="209" fontId="3" fillId="34" borderId="15" xfId="0" applyNumberFormat="1" applyFont="1" applyFill="1" applyBorder="1" applyAlignment="1">
      <alignment horizontal="center" vertical="center"/>
    </xf>
    <xf numFmtId="209" fontId="3" fillId="34" borderId="16" xfId="0" applyNumberFormat="1" applyFont="1" applyFill="1" applyBorder="1" applyAlignment="1">
      <alignment horizontal="center" vertical="center"/>
    </xf>
    <xf numFmtId="172" fontId="0" fillId="4" borderId="28" xfId="0" applyNumberFormat="1" applyFill="1" applyBorder="1" applyAlignment="1">
      <alignment horizontal="center" vertical="center"/>
    </xf>
    <xf numFmtId="172" fontId="0" fillId="4" borderId="49" xfId="0" applyNumberFormat="1" applyFill="1" applyBorder="1" applyAlignment="1">
      <alignment horizontal="center" vertical="center"/>
    </xf>
    <xf numFmtId="0" fontId="0" fillId="22" borderId="30" xfId="0" applyFill="1" applyBorder="1" applyAlignment="1" applyProtection="1">
      <alignment horizontal="left" vertical="center"/>
      <protection locked="0"/>
    </xf>
    <xf numFmtId="0" fontId="0" fillId="22" borderId="63" xfId="0" applyFill="1" applyBorder="1" applyAlignment="1" applyProtection="1">
      <alignment horizontal="left" vertical="center"/>
      <protection locked="0"/>
    </xf>
    <xf numFmtId="166" fontId="3" fillId="5" borderId="114" xfId="0" applyNumberFormat="1" applyFont="1" applyFill="1" applyBorder="1" applyAlignment="1">
      <alignment horizontal="center" vertical="center"/>
    </xf>
    <xf numFmtId="166" fontId="3" fillId="5" borderId="114" xfId="0" applyNumberFormat="1" applyFont="1" applyFill="1" applyBorder="1" applyAlignment="1">
      <alignment horizontal="center" vertical="center" wrapText="1"/>
    </xf>
    <xf numFmtId="166" fontId="3" fillId="5" borderId="108" xfId="0" applyNumberFormat="1" applyFont="1" applyFill="1" applyBorder="1" applyAlignment="1">
      <alignment horizontal="center" vertical="center"/>
    </xf>
    <xf numFmtId="166" fontId="0" fillId="5" borderId="24" xfId="0" applyNumberFormat="1" applyFill="1" applyBorder="1" applyAlignment="1">
      <alignment horizontal="center" vertical="center"/>
    </xf>
    <xf numFmtId="166" fontId="0" fillId="5" borderId="15" xfId="0" applyNumberFormat="1" applyFill="1" applyBorder="1" applyAlignment="1">
      <alignment horizontal="center" vertical="center"/>
    </xf>
    <xf numFmtId="185" fontId="0" fillId="5" borderId="15" xfId="0" applyNumberFormat="1" applyFill="1" applyBorder="1" applyAlignment="1">
      <alignment horizontal="center" vertical="center"/>
    </xf>
    <xf numFmtId="171" fontId="0" fillId="5" borderId="15" xfId="0" applyNumberFormat="1" applyFill="1" applyBorder="1" applyAlignment="1">
      <alignment horizontal="center" vertical="center"/>
    </xf>
    <xf numFmtId="166" fontId="0" fillId="5" borderId="118" xfId="0" applyNumberFormat="1" applyFill="1" applyBorder="1" applyAlignment="1">
      <alignment horizontal="center" vertical="center"/>
    </xf>
    <xf numFmtId="166" fontId="0" fillId="5" borderId="119" xfId="0" applyNumberFormat="1" applyFill="1" applyBorder="1" applyAlignment="1">
      <alignment horizontal="center" vertical="center"/>
    </xf>
    <xf numFmtId="0" fontId="3" fillId="4" borderId="56" xfId="0" applyFont="1" applyFill="1" applyBorder="1" applyAlignment="1">
      <alignment horizontal="center" vertical="center"/>
    </xf>
    <xf numFmtId="172" fontId="0" fillId="11" borderId="120" xfId="0" applyNumberFormat="1" applyFill="1" applyBorder="1" applyAlignment="1">
      <alignment horizontal="center" vertical="center"/>
    </xf>
    <xf numFmtId="166" fontId="0" fillId="4" borderId="29" xfId="0" applyNumberFormat="1" applyFill="1" applyBorder="1" applyAlignment="1">
      <alignment horizontal="center" vertical="center"/>
    </xf>
    <xf numFmtId="166" fontId="0" fillId="4" borderId="121" xfId="0" applyNumberFormat="1" applyFill="1" applyBorder="1" applyAlignment="1">
      <alignment horizontal="center" vertical="center"/>
    </xf>
    <xf numFmtId="166" fontId="0" fillId="4" borderId="104" xfId="0" applyNumberFormat="1" applyFill="1" applyBorder="1" applyAlignment="1">
      <alignment horizontal="center" vertical="center"/>
    </xf>
    <xf numFmtId="0" fontId="52" fillId="0" borderId="0" xfId="0" applyFont="1" applyAlignment="1">
      <alignment vertical="center"/>
    </xf>
    <xf numFmtId="0" fontId="3" fillId="0" borderId="0" xfId="0" applyFont="1" applyAlignment="1">
      <alignment horizontal="center" vertical="center" wrapText="1"/>
    </xf>
    <xf numFmtId="171" fontId="0" fillId="11" borderId="28" xfId="0" applyNumberFormat="1" applyFill="1" applyBorder="1" applyAlignment="1" applyProtection="1">
      <alignment horizontal="center" vertical="center"/>
      <protection locked="0"/>
    </xf>
    <xf numFmtId="0" fontId="3" fillId="4" borderId="11" xfId="0" applyFont="1" applyFill="1" applyBorder="1" applyAlignment="1">
      <alignment horizontal="center" vertical="center"/>
    </xf>
    <xf numFmtId="9" fontId="0" fillId="23" borderId="0" xfId="1" applyFont="1" applyFill="1" applyAlignment="1" applyProtection="1">
      <alignment horizontal="center" vertical="center"/>
      <protection locked="0"/>
    </xf>
    <xf numFmtId="0" fontId="12" fillId="4" borderId="124" xfId="0" applyFont="1" applyFill="1" applyBorder="1" applyAlignment="1">
      <alignment horizontal="center" vertical="center"/>
    </xf>
    <xf numFmtId="9" fontId="12" fillId="4" borderId="28" xfId="0" applyNumberFormat="1" applyFont="1" applyFill="1" applyBorder="1" applyAlignment="1">
      <alignment horizontal="center" vertical="center"/>
    </xf>
    <xf numFmtId="2" fontId="12" fillId="4" borderId="28" xfId="0" applyNumberFormat="1" applyFont="1" applyFill="1" applyBorder="1" applyAlignment="1">
      <alignment horizontal="center" vertical="center"/>
    </xf>
    <xf numFmtId="165" fontId="7" fillId="4" borderId="64" xfId="0" applyNumberFormat="1" applyFont="1" applyFill="1" applyBorder="1" applyAlignment="1">
      <alignment horizontal="center" vertical="center"/>
    </xf>
    <xf numFmtId="0" fontId="0" fillId="4" borderId="34" xfId="0" applyFill="1" applyBorder="1" applyAlignment="1">
      <alignment horizontal="center" vertical="center"/>
    </xf>
    <xf numFmtId="172" fontId="0" fillId="4" borderId="34" xfId="0" applyNumberFormat="1" applyFill="1" applyBorder="1" applyAlignment="1">
      <alignment horizontal="center" vertical="center"/>
    </xf>
    <xf numFmtId="166" fontId="0" fillId="4" borderId="45" xfId="0" applyNumberFormat="1" applyFill="1" applyBorder="1" applyAlignment="1">
      <alignment horizontal="center" vertical="center"/>
    </xf>
    <xf numFmtId="9" fontId="12" fillId="4" borderId="61" xfId="0" applyNumberFormat="1" applyFont="1" applyFill="1" applyBorder="1" applyAlignment="1">
      <alignment horizontal="center" vertical="center"/>
    </xf>
    <xf numFmtId="2" fontId="12" fillId="4" borderId="61" xfId="0" applyNumberFormat="1" applyFont="1" applyFill="1" applyBorder="1" applyAlignment="1">
      <alignment horizontal="center" vertical="center"/>
    </xf>
    <xf numFmtId="225" fontId="7" fillId="4" borderId="58" xfId="0" applyNumberFormat="1" applyFont="1" applyFill="1" applyBorder="1" applyAlignment="1">
      <alignment horizontal="center" vertical="center"/>
    </xf>
    <xf numFmtId="164" fontId="12" fillId="4" borderId="60" xfId="0" applyNumberFormat="1" applyFont="1" applyFill="1" applyBorder="1" applyAlignment="1">
      <alignment horizontal="center" vertical="center"/>
    </xf>
    <xf numFmtId="165" fontId="7" fillId="4" borderId="59" xfId="0" applyNumberFormat="1" applyFont="1" applyFill="1" applyBorder="1" applyAlignment="1">
      <alignment horizontal="center" vertical="center"/>
    </xf>
    <xf numFmtId="9" fontId="53" fillId="4" borderId="28" xfId="0" applyNumberFormat="1" applyFont="1" applyFill="1" applyBorder="1" applyAlignment="1">
      <alignment horizontal="center" vertical="center"/>
    </xf>
    <xf numFmtId="9" fontId="53" fillId="4" borderId="61" xfId="0" applyNumberFormat="1" applyFont="1" applyFill="1" applyBorder="1" applyAlignment="1">
      <alignment horizontal="center" vertical="center"/>
    </xf>
    <xf numFmtId="9" fontId="53" fillId="4" borderId="58" xfId="0" applyNumberFormat="1" applyFont="1" applyFill="1" applyBorder="1" applyAlignment="1">
      <alignment horizontal="center" vertical="center"/>
    </xf>
    <xf numFmtId="9" fontId="53" fillId="4" borderId="59" xfId="0" applyNumberFormat="1" applyFont="1" applyFill="1" applyBorder="1" applyAlignment="1">
      <alignment horizontal="center" vertical="center"/>
    </xf>
    <xf numFmtId="9" fontId="53" fillId="4" borderId="64" xfId="0" applyNumberFormat="1" applyFont="1" applyFill="1" applyBorder="1" applyAlignment="1">
      <alignment horizontal="center" vertical="center"/>
    </xf>
    <xf numFmtId="172" fontId="53" fillId="4" borderId="55" xfId="0" applyNumberFormat="1" applyFont="1" applyFill="1" applyBorder="1" applyAlignment="1">
      <alignment horizontal="center" vertical="center"/>
    </xf>
    <xf numFmtId="172" fontId="53" fillId="4" borderId="28" xfId="0" applyNumberFormat="1" applyFont="1" applyFill="1" applyBorder="1" applyAlignment="1">
      <alignment horizontal="center" vertical="center"/>
    </xf>
    <xf numFmtId="172" fontId="53" fillId="4" borderId="61" xfId="0" applyNumberFormat="1" applyFont="1" applyFill="1" applyBorder="1" applyAlignment="1">
      <alignment horizontal="center" vertical="center"/>
    </xf>
    <xf numFmtId="9" fontId="7" fillId="4" borderId="57" xfId="1" applyFont="1" applyFill="1" applyBorder="1" applyAlignment="1">
      <alignment horizontal="center" vertical="center"/>
    </xf>
    <xf numFmtId="9" fontId="53" fillId="4" borderId="55" xfId="0" applyNumberFormat="1" applyFont="1" applyFill="1" applyBorder="1" applyAlignment="1">
      <alignment horizontal="center" vertical="center"/>
    </xf>
    <xf numFmtId="0" fontId="54" fillId="0" borderId="0" xfId="0" applyFont="1" applyAlignment="1">
      <alignment vertical="center" wrapText="1"/>
    </xf>
    <xf numFmtId="0" fontId="0" fillId="36" borderId="0" xfId="0" applyFill="1" applyAlignment="1">
      <alignment vertical="center" wrapText="1"/>
    </xf>
    <xf numFmtId="0" fontId="0" fillId="37" borderId="0" xfId="0" applyFill="1" applyAlignment="1">
      <alignment vertical="center" wrapText="1"/>
    </xf>
    <xf numFmtId="0" fontId="0" fillId="38" borderId="0" xfId="0" applyFill="1" applyAlignment="1">
      <alignment vertical="center" wrapText="1"/>
    </xf>
    <xf numFmtId="0" fontId="0" fillId="39" borderId="0" xfId="0" applyFill="1" applyAlignment="1">
      <alignment vertical="center" wrapText="1"/>
    </xf>
    <xf numFmtId="0" fontId="0" fillId="40" borderId="0" xfId="0" applyFill="1" applyAlignment="1">
      <alignment vertical="center" wrapText="1"/>
    </xf>
    <xf numFmtId="0" fontId="0" fillId="41" borderId="0" xfId="0" applyFill="1" applyAlignment="1">
      <alignment vertical="center" wrapText="1"/>
    </xf>
    <xf numFmtId="0" fontId="0" fillId="42" borderId="0" xfId="0" applyFill="1" applyAlignment="1">
      <alignment vertical="center" wrapText="1"/>
    </xf>
    <xf numFmtId="0" fontId="0" fillId="43" borderId="0" xfId="0" applyFill="1" applyAlignment="1">
      <alignment vertical="center" wrapText="1"/>
    </xf>
    <xf numFmtId="0" fontId="4" fillId="45" borderId="0" xfId="0" applyFont="1" applyFill="1" applyAlignment="1">
      <alignment vertical="center" wrapText="1"/>
    </xf>
    <xf numFmtId="0" fontId="4" fillId="46" borderId="0" xfId="0" applyFont="1" applyFill="1" applyAlignment="1">
      <alignment vertical="center" wrapText="1"/>
    </xf>
    <xf numFmtId="0" fontId="4" fillId="47" borderId="0" xfId="0" applyFont="1" applyFill="1" applyAlignment="1">
      <alignment vertical="center" wrapText="1"/>
    </xf>
    <xf numFmtId="0" fontId="4" fillId="48" borderId="0" xfId="0" applyFont="1" applyFill="1" applyAlignment="1">
      <alignment vertical="center" wrapText="1"/>
    </xf>
    <xf numFmtId="0" fontId="4" fillId="49" borderId="0" xfId="0" applyFont="1" applyFill="1" applyAlignment="1">
      <alignment vertical="center" wrapText="1"/>
    </xf>
    <xf numFmtId="0" fontId="4" fillId="50" borderId="0" xfId="0" applyFont="1" applyFill="1" applyAlignment="1">
      <alignment vertical="center" wrapText="1"/>
    </xf>
    <xf numFmtId="0" fontId="4" fillId="44" borderId="0" xfId="0" applyFont="1" applyFill="1" applyAlignment="1">
      <alignment vertical="center" wrapText="1"/>
    </xf>
    <xf numFmtId="0" fontId="55" fillId="0" borderId="0" xfId="0" applyFont="1"/>
    <xf numFmtId="0" fontId="0" fillId="51" borderId="0" xfId="0" applyFill="1" applyAlignment="1">
      <alignment vertical="center" wrapText="1"/>
    </xf>
    <xf numFmtId="0" fontId="0" fillId="52" borderId="0" xfId="0" applyFill="1" applyAlignment="1">
      <alignment vertical="center" wrapText="1"/>
    </xf>
    <xf numFmtId="0" fontId="0" fillId="53" borderId="0" xfId="0" applyFill="1" applyAlignment="1">
      <alignment vertical="center" wrapText="1"/>
    </xf>
    <xf numFmtId="0" fontId="0" fillId="54" borderId="0" xfId="0" applyFill="1" applyAlignment="1">
      <alignment vertical="center" wrapText="1"/>
    </xf>
    <xf numFmtId="0" fontId="0" fillId="55" borderId="0" xfId="0" applyFill="1" applyAlignment="1">
      <alignment vertical="center" wrapText="1"/>
    </xf>
    <xf numFmtId="0" fontId="4" fillId="56" borderId="0" xfId="0" applyFont="1" applyFill="1" applyAlignment="1">
      <alignment vertical="center" wrapText="1"/>
    </xf>
    <xf numFmtId="175" fontId="3" fillId="15" borderId="55" xfId="0" applyNumberFormat="1" applyFont="1" applyFill="1" applyBorder="1" applyAlignment="1">
      <alignment horizontal="center" vertical="center"/>
    </xf>
    <xf numFmtId="167" fontId="3" fillId="15" borderId="58" xfId="0" applyNumberFormat="1" applyFont="1" applyFill="1" applyBorder="1" applyAlignment="1">
      <alignment horizontal="center" vertical="center"/>
    </xf>
    <xf numFmtId="166" fontId="3" fillId="5" borderId="115" xfId="0" applyNumberFormat="1" applyFont="1" applyFill="1" applyBorder="1" applyAlignment="1">
      <alignment horizontal="left" vertical="center"/>
    </xf>
    <xf numFmtId="0" fontId="4" fillId="32" borderId="0" xfId="0" applyFont="1" applyFill="1"/>
    <xf numFmtId="186" fontId="0" fillId="11" borderId="82" xfId="0" applyNumberFormat="1" applyFill="1" applyBorder="1" applyAlignment="1">
      <alignment horizontal="center" vertical="center"/>
    </xf>
    <xf numFmtId="0" fontId="58" fillId="4" borderId="54" xfId="0" applyFont="1" applyFill="1" applyBorder="1" applyAlignment="1">
      <alignment horizontal="center" vertical="center"/>
    </xf>
    <xf numFmtId="0" fontId="58" fillId="4" borderId="55" xfId="0" applyFont="1" applyFill="1" applyBorder="1" applyAlignment="1">
      <alignment horizontal="center" vertical="center"/>
    </xf>
    <xf numFmtId="0" fontId="58" fillId="4" borderId="58" xfId="0" applyFont="1" applyFill="1" applyBorder="1" applyAlignment="1">
      <alignment horizontal="center" vertical="center"/>
    </xf>
    <xf numFmtId="0" fontId="59" fillId="4" borderId="124" xfId="0" applyFont="1" applyFill="1" applyBorder="1" applyAlignment="1">
      <alignment horizontal="center" vertical="center"/>
    </xf>
    <xf numFmtId="9" fontId="59" fillId="4" borderId="28" xfId="0" applyNumberFormat="1" applyFont="1" applyFill="1" applyBorder="1" applyAlignment="1">
      <alignment horizontal="center" vertical="center"/>
    </xf>
    <xf numFmtId="2" fontId="59" fillId="4" borderId="28" xfId="0" applyNumberFormat="1" applyFont="1" applyFill="1" applyBorder="1" applyAlignment="1">
      <alignment horizontal="center" vertical="center"/>
    </xf>
    <xf numFmtId="224" fontId="59" fillId="4" borderId="59" xfId="0" applyNumberFormat="1" applyFont="1" applyFill="1" applyBorder="1" applyAlignment="1">
      <alignment horizontal="center" vertical="center"/>
    </xf>
    <xf numFmtId="0" fontId="59" fillId="4" borderId="78" xfId="0" applyFont="1" applyFill="1" applyBorder="1" applyAlignment="1">
      <alignment horizontal="center" vertical="center"/>
    </xf>
    <xf numFmtId="10" fontId="59" fillId="4" borderId="49" xfId="1" applyNumberFormat="1" applyFont="1" applyFill="1" applyBorder="1" applyAlignment="1">
      <alignment horizontal="center" vertical="center"/>
    </xf>
    <xf numFmtId="2" fontId="59" fillId="4" borderId="49" xfId="0" applyNumberFormat="1" applyFont="1" applyFill="1" applyBorder="1" applyAlignment="1">
      <alignment horizontal="center" vertical="center"/>
    </xf>
    <xf numFmtId="224" fontId="59" fillId="4" borderId="125" xfId="0" applyNumberFormat="1" applyFont="1" applyFill="1" applyBorder="1" applyAlignment="1">
      <alignment horizontal="center" vertical="center"/>
    </xf>
    <xf numFmtId="0" fontId="59" fillId="4" borderId="126" xfId="0" applyFont="1" applyFill="1" applyBorder="1" applyAlignment="1">
      <alignment horizontal="center" vertical="center"/>
    </xf>
    <xf numFmtId="9" fontId="59" fillId="4" borderId="34" xfId="0" applyNumberFormat="1" applyFont="1" applyFill="1" applyBorder="1" applyAlignment="1">
      <alignment horizontal="center" vertical="center"/>
    </xf>
    <xf numFmtId="2" fontId="59" fillId="4" borderId="34" xfId="0" applyNumberFormat="1" applyFont="1" applyFill="1" applyBorder="1" applyAlignment="1">
      <alignment horizontal="center" vertical="center"/>
    </xf>
    <xf numFmtId="224" fontId="59" fillId="4" borderId="127" xfId="0" applyNumberFormat="1" applyFont="1" applyFill="1" applyBorder="1" applyAlignment="1">
      <alignment horizontal="center" vertical="center"/>
    </xf>
    <xf numFmtId="175" fontId="60" fillId="20" borderId="29" xfId="0" applyNumberFormat="1" applyFont="1" applyFill="1" applyBorder="1" applyAlignment="1">
      <alignment horizontal="center" vertical="center"/>
    </xf>
    <xf numFmtId="0" fontId="58" fillId="7" borderId="56" xfId="0" applyFont="1" applyFill="1" applyBorder="1" applyAlignment="1">
      <alignment horizontal="center" vertical="center" wrapText="1"/>
    </xf>
    <xf numFmtId="165" fontId="60" fillId="7" borderId="29" xfId="0" applyNumberFormat="1" applyFont="1" applyFill="1" applyBorder="1" applyAlignment="1">
      <alignment horizontal="center" vertical="center"/>
    </xf>
    <xf numFmtId="182" fontId="59" fillId="7" borderId="29" xfId="1" applyNumberFormat="1" applyFont="1" applyFill="1" applyBorder="1" applyAlignment="1">
      <alignment horizontal="center" vertical="center"/>
    </xf>
    <xf numFmtId="0" fontId="60" fillId="17" borderId="56" xfId="0" applyFont="1" applyFill="1" applyBorder="1" applyAlignment="1" applyProtection="1">
      <alignment horizontal="center" vertical="center" wrapText="1"/>
      <protection locked="0"/>
    </xf>
    <xf numFmtId="0" fontId="60" fillId="17" borderId="29" xfId="0" applyFont="1" applyFill="1" applyBorder="1" applyAlignment="1">
      <alignment horizontal="center" vertical="center"/>
    </xf>
    <xf numFmtId="175" fontId="60" fillId="7" borderId="28" xfId="0" applyNumberFormat="1" applyFont="1" applyFill="1" applyBorder="1" applyAlignment="1">
      <alignment horizontal="center" vertical="center"/>
    </xf>
    <xf numFmtId="0" fontId="58" fillId="18" borderId="56" xfId="0" applyFont="1" applyFill="1" applyBorder="1" applyAlignment="1">
      <alignment horizontal="center" vertical="center"/>
    </xf>
    <xf numFmtId="165" fontId="60" fillId="18" borderId="29" xfId="0" applyNumberFormat="1" applyFont="1" applyFill="1" applyBorder="1" applyAlignment="1">
      <alignment horizontal="center" vertical="center"/>
    </xf>
    <xf numFmtId="175" fontId="60" fillId="18" borderId="29" xfId="0" applyNumberFormat="1" applyFont="1" applyFill="1" applyBorder="1" applyAlignment="1">
      <alignment horizontal="center" vertical="center"/>
    </xf>
    <xf numFmtId="165" fontId="60" fillId="20" borderId="29" xfId="0" applyNumberFormat="1" applyFont="1" applyFill="1" applyBorder="1" applyAlignment="1">
      <alignment horizontal="center" vertical="center"/>
    </xf>
    <xf numFmtId="222" fontId="60" fillId="20" borderId="29" xfId="0" applyNumberFormat="1" applyFont="1" applyFill="1" applyBorder="1" applyAlignment="1">
      <alignment horizontal="center" vertical="center"/>
    </xf>
    <xf numFmtId="168" fontId="15" fillId="20" borderId="131" xfId="0" applyNumberFormat="1" applyFont="1" applyFill="1" applyBorder="1" applyAlignment="1" applyProtection="1">
      <alignment horizontal="center" vertical="center" wrapText="1"/>
      <protection locked="0"/>
    </xf>
    <xf numFmtId="0" fontId="58" fillId="20" borderId="132" xfId="0" applyFont="1" applyFill="1" applyBorder="1" applyAlignment="1">
      <alignment horizontal="center" vertical="center" wrapText="1"/>
    </xf>
    <xf numFmtId="0" fontId="3" fillId="19" borderId="146" xfId="0" applyFont="1" applyFill="1" applyBorder="1" applyAlignment="1">
      <alignment horizontal="center" vertical="center"/>
    </xf>
    <xf numFmtId="0" fontId="3" fillId="19" borderId="131" xfId="0" applyFont="1" applyFill="1" applyBorder="1" applyAlignment="1">
      <alignment horizontal="center" vertical="center"/>
    </xf>
    <xf numFmtId="171" fontId="3" fillId="19" borderId="131" xfId="0" applyNumberFormat="1" applyFont="1" applyFill="1" applyBorder="1" applyAlignment="1">
      <alignment horizontal="center" vertical="center"/>
    </xf>
    <xf numFmtId="171" fontId="7" fillId="19" borderId="131" xfId="0" applyNumberFormat="1" applyFont="1" applyFill="1" applyBorder="1" applyAlignment="1">
      <alignment horizontal="center" vertical="center"/>
    </xf>
    <xf numFmtId="171" fontId="3" fillId="19" borderId="147" xfId="0" applyNumberFormat="1" applyFont="1" applyFill="1" applyBorder="1" applyAlignment="1">
      <alignment horizontal="center" vertical="center"/>
    </xf>
    <xf numFmtId="168" fontId="0" fillId="19" borderId="148" xfId="0" applyNumberFormat="1" applyFill="1" applyBorder="1" applyAlignment="1">
      <alignment horizontal="left" vertical="center"/>
    </xf>
    <xf numFmtId="168" fontId="0" fillId="19" borderId="148" xfId="0" applyNumberFormat="1" applyFill="1" applyBorder="1" applyAlignment="1" applyProtection="1">
      <alignment horizontal="left" vertical="center"/>
      <protection locked="0"/>
    </xf>
    <xf numFmtId="10" fontId="0" fillId="19" borderId="148" xfId="0" applyNumberFormat="1" applyFill="1" applyBorder="1" applyAlignment="1">
      <alignment horizontal="left" vertical="center" wrapText="1"/>
    </xf>
    <xf numFmtId="165" fontId="0" fillId="19" borderId="149" xfId="0" applyNumberFormat="1" applyFill="1" applyBorder="1" applyAlignment="1" applyProtection="1">
      <alignment horizontal="left"/>
      <protection locked="0"/>
    </xf>
    <xf numFmtId="171" fontId="0" fillId="19" borderId="149" xfId="0" applyNumberFormat="1" applyFill="1" applyBorder="1" applyAlignment="1" applyProtection="1">
      <alignment horizontal="center"/>
      <protection locked="0"/>
    </xf>
    <xf numFmtId="165" fontId="0" fillId="19" borderId="149" xfId="0" applyNumberFormat="1" applyFill="1" applyBorder="1" applyAlignment="1" applyProtection="1">
      <alignment horizontal="center" vertical="center"/>
      <protection locked="0"/>
    </xf>
    <xf numFmtId="10" fontId="0" fillId="19" borderId="149" xfId="0" applyNumberFormat="1" applyFill="1" applyBorder="1" applyAlignment="1" applyProtection="1">
      <alignment horizontal="center" vertical="center" wrapText="1"/>
      <protection locked="0"/>
    </xf>
    <xf numFmtId="10" fontId="0" fillId="19" borderId="141" xfId="0" applyNumberFormat="1" applyFill="1" applyBorder="1" applyAlignment="1">
      <alignment horizontal="left" vertical="center" wrapText="1"/>
    </xf>
    <xf numFmtId="0" fontId="61" fillId="7" borderId="62" xfId="0" applyFont="1" applyFill="1" applyBorder="1" applyAlignment="1">
      <alignment vertical="center"/>
    </xf>
    <xf numFmtId="0" fontId="61" fillId="7" borderId="72" xfId="0" applyFont="1" applyFill="1" applyBorder="1" applyAlignment="1">
      <alignment vertical="center"/>
    </xf>
    <xf numFmtId="0" fontId="61" fillId="7" borderId="63" xfId="0" applyFont="1" applyFill="1" applyBorder="1" applyAlignment="1">
      <alignment vertical="center"/>
    </xf>
    <xf numFmtId="208" fontId="61" fillId="7" borderId="64" xfId="0" applyNumberFormat="1" applyFont="1" applyFill="1" applyBorder="1" applyAlignment="1">
      <alignment horizontal="center" vertical="center"/>
    </xf>
    <xf numFmtId="174" fontId="16" fillId="20" borderId="56" xfId="0" applyNumberFormat="1" applyFont="1" applyFill="1" applyBorder="1" applyAlignment="1">
      <alignment horizontal="center" vertical="center"/>
    </xf>
    <xf numFmtId="0" fontId="3" fillId="7" borderId="28" xfId="0" applyFont="1" applyFill="1" applyBorder="1" applyAlignment="1">
      <alignment horizontal="center" vertical="center" wrapText="1"/>
    </xf>
    <xf numFmtId="0" fontId="3" fillId="7" borderId="28" xfId="0" applyFont="1" applyFill="1" applyBorder="1" applyAlignment="1">
      <alignment horizontal="center" vertical="center"/>
    </xf>
    <xf numFmtId="0" fontId="3" fillId="7" borderId="61" xfId="0" applyFont="1" applyFill="1" applyBorder="1" applyAlignment="1">
      <alignment horizontal="center" vertical="center"/>
    </xf>
    <xf numFmtId="9" fontId="63" fillId="20" borderId="29" xfId="0" applyNumberFormat="1" applyFont="1" applyFill="1" applyBorder="1" applyAlignment="1">
      <alignment horizontal="center" vertical="center" wrapText="1"/>
    </xf>
    <xf numFmtId="166" fontId="59" fillId="11" borderId="28" xfId="0" applyNumberFormat="1" applyFont="1" applyFill="1" applyBorder="1" applyAlignment="1">
      <alignment horizontal="center" vertical="center"/>
    </xf>
    <xf numFmtId="213" fontId="59" fillId="11" borderId="59" xfId="0" applyNumberFormat="1" applyFont="1" applyFill="1" applyBorder="1" applyAlignment="1">
      <alignment horizontal="center" vertical="center"/>
    </xf>
    <xf numFmtId="9" fontId="59" fillId="18" borderId="62" xfId="0" applyNumberFormat="1" applyFont="1" applyFill="1" applyBorder="1" applyAlignment="1">
      <alignment horizontal="center" vertical="center"/>
    </xf>
    <xf numFmtId="209" fontId="16" fillId="20" borderId="58" xfId="0" applyNumberFormat="1" applyFont="1" applyFill="1" applyBorder="1" applyAlignment="1">
      <alignment horizontal="center" vertical="center"/>
    </xf>
    <xf numFmtId="174" fontId="16" fillId="20" borderId="62" xfId="0" applyNumberFormat="1" applyFont="1" applyFill="1" applyBorder="1" applyAlignment="1">
      <alignment horizontal="center" vertical="center"/>
    </xf>
    <xf numFmtId="180" fontId="16" fillId="20" borderId="64" xfId="0" applyNumberFormat="1" applyFont="1" applyFill="1" applyBorder="1" applyAlignment="1">
      <alignment horizontal="center" vertical="center"/>
    </xf>
    <xf numFmtId="170" fontId="0" fillId="12" borderId="35" xfId="0" applyNumberFormat="1" applyFill="1" applyBorder="1" applyAlignment="1" applyProtection="1">
      <alignment horizontal="center" vertical="center"/>
      <protection locked="0"/>
    </xf>
    <xf numFmtId="168" fontId="0" fillId="12" borderId="35" xfId="0" applyNumberFormat="1" applyFill="1" applyBorder="1" applyAlignment="1" applyProtection="1">
      <alignment horizontal="center" vertical="center"/>
      <protection locked="0"/>
    </xf>
    <xf numFmtId="0" fontId="7" fillId="12" borderId="66" xfId="0" applyFont="1" applyFill="1" applyBorder="1" applyAlignment="1" applyProtection="1">
      <alignment horizontal="center" vertical="center"/>
      <protection locked="0"/>
    </xf>
    <xf numFmtId="0" fontId="12" fillId="18" borderId="61" xfId="0" applyFont="1" applyFill="1" applyBorder="1" applyAlignment="1">
      <alignment horizontal="center" vertical="center" wrapText="1"/>
    </xf>
    <xf numFmtId="0" fontId="25" fillId="23" borderId="8" xfId="0" applyFont="1" applyFill="1" applyBorder="1" applyAlignment="1" applyProtection="1">
      <alignment vertical="center" wrapText="1"/>
      <protection locked="0"/>
    </xf>
    <xf numFmtId="166" fontId="6" fillId="5" borderId="116" xfId="0" applyNumberFormat="1" applyFont="1" applyFill="1" applyBorder="1" applyAlignment="1">
      <alignment vertical="center"/>
    </xf>
    <xf numFmtId="166" fontId="6" fillId="5" borderId="117" xfId="0" applyNumberFormat="1" applyFont="1" applyFill="1" applyBorder="1" applyAlignment="1">
      <alignment vertical="center"/>
    </xf>
    <xf numFmtId="0" fontId="13" fillId="22" borderId="76" xfId="0" applyFont="1" applyFill="1" applyBorder="1" applyAlignment="1">
      <alignment vertical="center"/>
    </xf>
    <xf numFmtId="0" fontId="13" fillId="22" borderId="80" xfId="0" applyFont="1" applyFill="1" applyBorder="1" applyAlignment="1">
      <alignment vertical="center"/>
    </xf>
    <xf numFmtId="0" fontId="13" fillId="15" borderId="89" xfId="0" applyFont="1" applyFill="1" applyBorder="1" applyAlignment="1">
      <alignment vertical="center"/>
    </xf>
    <xf numFmtId="0" fontId="13" fillId="15" borderId="52" xfId="0" applyFont="1" applyFill="1" applyBorder="1" applyAlignment="1">
      <alignment vertical="center"/>
    </xf>
    <xf numFmtId="0" fontId="13" fillId="15" borderId="4" xfId="0" applyFont="1" applyFill="1" applyBorder="1" applyAlignment="1">
      <alignment vertical="center"/>
    </xf>
    <xf numFmtId="0" fontId="13" fillId="15" borderId="91" xfId="0" applyFont="1" applyFill="1" applyBorder="1" applyAlignment="1">
      <alignment vertical="center"/>
    </xf>
    <xf numFmtId="168" fontId="0" fillId="12" borderId="35" xfId="0" applyNumberFormat="1" applyFill="1" applyBorder="1" applyAlignment="1" applyProtection="1">
      <alignment vertical="center"/>
      <protection locked="0"/>
    </xf>
    <xf numFmtId="0" fontId="3" fillId="20" borderId="28" xfId="0" applyFont="1" applyFill="1" applyBorder="1" applyAlignment="1">
      <alignment horizontal="center" vertical="center" wrapText="1"/>
    </xf>
    <xf numFmtId="0" fontId="3" fillId="20" borderId="28" xfId="0" applyFont="1" applyFill="1" applyBorder="1" applyAlignment="1">
      <alignment horizontal="center" vertical="center"/>
    </xf>
    <xf numFmtId="0" fontId="7" fillId="20" borderId="28" xfId="0" applyFont="1" applyFill="1" applyBorder="1" applyAlignment="1">
      <alignment horizontal="center" vertical="center" wrapText="1"/>
    </xf>
    <xf numFmtId="0" fontId="3" fillId="12" borderId="158" xfId="0" applyFont="1" applyFill="1" applyBorder="1" applyAlignment="1">
      <alignment horizontal="center" vertical="center"/>
    </xf>
    <xf numFmtId="168" fontId="0" fillId="12" borderId="159" xfId="0" applyNumberFormat="1" applyFill="1" applyBorder="1" applyAlignment="1" applyProtection="1">
      <alignment horizontal="center" vertical="center"/>
      <protection locked="0"/>
    </xf>
    <xf numFmtId="14" fontId="3" fillId="35" borderId="161" xfId="0" applyNumberFormat="1" applyFont="1" applyFill="1" applyBorder="1" applyAlignment="1">
      <alignment horizontal="center" vertical="center"/>
    </xf>
    <xf numFmtId="171" fontId="3" fillId="35" borderId="161" xfId="0" applyNumberFormat="1" applyFont="1" applyFill="1" applyBorder="1" applyAlignment="1">
      <alignment horizontal="center" vertical="center"/>
    </xf>
    <xf numFmtId="14" fontId="3" fillId="35" borderId="11" xfId="1" applyNumberFormat="1" applyFont="1" applyFill="1" applyBorder="1" applyAlignment="1">
      <alignment vertical="center"/>
    </xf>
    <xf numFmtId="171" fontId="3" fillId="35" borderId="11" xfId="1" applyNumberFormat="1" applyFont="1" applyFill="1" applyBorder="1" applyAlignment="1">
      <alignment vertical="center"/>
    </xf>
    <xf numFmtId="165" fontId="3" fillId="35" borderId="12" xfId="0" applyNumberFormat="1" applyFont="1" applyFill="1" applyBorder="1" applyAlignment="1">
      <alignment horizontal="center" vertical="center"/>
    </xf>
    <xf numFmtId="165" fontId="3" fillId="35" borderId="16" xfId="0" applyNumberFormat="1" applyFont="1" applyFill="1" applyBorder="1" applyAlignment="1">
      <alignment horizontal="center" vertical="center"/>
    </xf>
    <xf numFmtId="0" fontId="3" fillId="32" borderId="11" xfId="0" applyFont="1" applyFill="1" applyBorder="1" applyAlignment="1">
      <alignment horizontal="center" vertical="center" wrapText="1"/>
    </xf>
    <xf numFmtId="0" fontId="0" fillId="32" borderId="11" xfId="0" applyFill="1" applyBorder="1" applyAlignment="1">
      <alignment horizontal="center" vertical="center" wrapText="1"/>
    </xf>
    <xf numFmtId="0" fontId="3" fillId="20" borderId="162" xfId="0" applyFont="1" applyFill="1" applyBorder="1" applyAlignment="1">
      <alignment vertical="center"/>
    </xf>
    <xf numFmtId="212" fontId="0" fillId="20" borderId="163" xfId="0" applyNumberFormat="1" applyFill="1" applyBorder="1" applyAlignment="1">
      <alignment horizontal="center" vertical="center"/>
    </xf>
    <xf numFmtId="220" fontId="3" fillId="13" borderId="28" xfId="0" applyNumberFormat="1" applyFont="1" applyFill="1" applyBorder="1" applyAlignment="1" applyProtection="1">
      <alignment horizontal="center" vertical="center"/>
      <protection locked="0"/>
    </xf>
    <xf numFmtId="0" fontId="3" fillId="13" borderId="28" xfId="0" applyFont="1" applyFill="1" applyBorder="1" applyAlignment="1" applyProtection="1">
      <alignment horizontal="center" vertical="center"/>
      <protection locked="0"/>
    </xf>
    <xf numFmtId="220" fontId="3" fillId="34" borderId="164" xfId="0" applyNumberFormat="1" applyFont="1" applyFill="1" applyBorder="1" applyAlignment="1">
      <alignment horizontal="center" vertical="center"/>
    </xf>
    <xf numFmtId="220" fontId="3" fillId="34" borderId="101" xfId="0" applyNumberFormat="1" applyFont="1" applyFill="1" applyBorder="1" applyAlignment="1">
      <alignment horizontal="center" vertical="center"/>
    </xf>
    <xf numFmtId="0" fontId="66" fillId="13" borderId="28" xfId="0" applyFont="1" applyFill="1" applyBorder="1" applyAlignment="1" applyProtection="1">
      <alignment horizontal="center" vertical="center" wrapText="1"/>
      <protection locked="0"/>
    </xf>
    <xf numFmtId="0" fontId="66" fillId="13" borderId="103" xfId="0" applyFont="1" applyFill="1" applyBorder="1" applyAlignment="1">
      <alignment horizontal="left" vertical="center" wrapText="1"/>
    </xf>
    <xf numFmtId="0" fontId="3" fillId="13" borderId="55" xfId="0" applyFont="1" applyFill="1" applyBorder="1" applyAlignment="1">
      <alignment horizontal="center" vertical="center"/>
    </xf>
    <xf numFmtId="0" fontId="3" fillId="13" borderId="76" xfId="0" applyFont="1" applyFill="1" applyBorder="1" applyAlignment="1">
      <alignment horizontal="right" vertical="center"/>
    </xf>
    <xf numFmtId="2" fontId="3" fillId="13" borderId="59" xfId="0" applyNumberFormat="1" applyFont="1" applyFill="1" applyBorder="1" applyAlignment="1" applyProtection="1">
      <alignment horizontal="center" vertical="center"/>
      <protection locked="0"/>
    </xf>
    <xf numFmtId="0" fontId="66" fillId="13" borderId="61" xfId="0" applyFont="1" applyFill="1" applyBorder="1" applyAlignment="1" applyProtection="1">
      <alignment horizontal="center" vertical="center" wrapText="1"/>
      <protection locked="0"/>
    </xf>
    <xf numFmtId="0" fontId="66" fillId="13" borderId="62" xfId="0" applyFont="1" applyFill="1" applyBorder="1" applyAlignment="1" applyProtection="1">
      <alignment horizontal="left" vertical="center" wrapText="1"/>
      <protection locked="0"/>
    </xf>
    <xf numFmtId="0" fontId="67" fillId="0" borderId="0" xfId="0" applyFont="1" applyAlignment="1">
      <alignment vertical="center"/>
    </xf>
    <xf numFmtId="0" fontId="68" fillId="0" borderId="0" xfId="0" applyFont="1" applyAlignment="1">
      <alignment vertical="center"/>
    </xf>
    <xf numFmtId="0" fontId="0" fillId="0" borderId="0" xfId="0" applyAlignment="1">
      <alignment horizontal="center" vertical="center" wrapText="1"/>
    </xf>
    <xf numFmtId="0" fontId="3" fillId="5" borderId="97" xfId="0" applyFont="1" applyFill="1" applyBorder="1" applyAlignment="1">
      <alignment horizontal="center" vertical="center" wrapText="1"/>
    </xf>
    <xf numFmtId="0" fontId="3" fillId="5" borderId="98" xfId="0" applyFont="1" applyFill="1" applyBorder="1" applyAlignment="1">
      <alignment horizontal="center" vertical="center"/>
    </xf>
    <xf numFmtId="166" fontId="3" fillId="5" borderId="41" xfId="0" applyNumberFormat="1" applyFont="1" applyFill="1" applyBorder="1" applyAlignment="1">
      <alignment horizontal="center" vertical="center" wrapText="1"/>
    </xf>
    <xf numFmtId="167" fontId="3" fillId="5" borderId="41" xfId="0" applyNumberFormat="1" applyFont="1" applyFill="1" applyBorder="1" applyAlignment="1">
      <alignment horizontal="center" vertical="center" wrapText="1"/>
    </xf>
    <xf numFmtId="0" fontId="3" fillId="5" borderId="98" xfId="0" applyFont="1" applyFill="1" applyBorder="1" applyAlignment="1">
      <alignment horizontal="center" vertical="center" wrapText="1"/>
    </xf>
    <xf numFmtId="165" fontId="3" fillId="35" borderId="4" xfId="0" applyNumberFormat="1" applyFont="1" applyFill="1" applyBorder="1" applyAlignment="1">
      <alignment horizontal="center" vertical="center"/>
    </xf>
    <xf numFmtId="165" fontId="3" fillId="35" borderId="11" xfId="0" applyNumberFormat="1" applyFont="1" applyFill="1" applyBorder="1" applyAlignment="1">
      <alignment horizontal="center" vertical="center"/>
    </xf>
    <xf numFmtId="1" fontId="3" fillId="34" borderId="10" xfId="0" applyNumberFormat="1" applyFont="1" applyFill="1" applyBorder="1" applyAlignment="1">
      <alignment horizontal="center" vertical="center"/>
    </xf>
    <xf numFmtId="1" fontId="3" fillId="34" borderId="11" xfId="0" applyNumberFormat="1" applyFont="1" applyFill="1" applyBorder="1" applyAlignment="1">
      <alignment horizontal="center" vertical="center"/>
    </xf>
    <xf numFmtId="165" fontId="3" fillId="35" borderId="11" xfId="0" applyNumberFormat="1" applyFont="1" applyFill="1" applyBorder="1" applyAlignment="1">
      <alignment horizontal="center" vertical="center" wrapText="1"/>
    </xf>
    <xf numFmtId="1" fontId="3" fillId="35" borderId="94" xfId="0" applyNumberFormat="1" applyFont="1" applyFill="1" applyBorder="1" applyAlignment="1">
      <alignment horizontal="center" vertical="center"/>
    </xf>
    <xf numFmtId="165" fontId="3" fillId="35" borderId="94" xfId="0" applyNumberFormat="1" applyFont="1" applyFill="1" applyBorder="1" applyAlignment="1">
      <alignment horizontal="center" vertical="center"/>
    </xf>
    <xf numFmtId="0" fontId="50" fillId="0" borderId="0" xfId="0" applyFont="1" applyAlignment="1">
      <alignment horizontal="center" vertical="center" wrapText="1"/>
    </xf>
    <xf numFmtId="0" fontId="69" fillId="0" borderId="0" xfId="0" applyFont="1" applyAlignment="1">
      <alignment horizontal="center" vertical="center" wrapText="1"/>
    </xf>
    <xf numFmtId="0" fontId="69" fillId="0" borderId="0" xfId="0" applyFont="1" applyAlignment="1">
      <alignment horizontal="center"/>
    </xf>
    <xf numFmtId="0" fontId="69" fillId="0" borderId="0" xfId="0" applyFont="1"/>
    <xf numFmtId="0" fontId="70" fillId="0" borderId="0" xfId="0" applyFont="1" applyAlignment="1">
      <alignment horizontal="center" vertical="center" wrapText="1"/>
    </xf>
    <xf numFmtId="0" fontId="71" fillId="0" borderId="0" xfId="0" applyFont="1" applyAlignment="1">
      <alignment horizontal="center" vertical="center" wrapText="1"/>
    </xf>
    <xf numFmtId="0" fontId="71" fillId="0" borderId="0" xfId="0" applyFont="1" applyAlignment="1">
      <alignment horizontal="center"/>
    </xf>
    <xf numFmtId="0" fontId="71" fillId="0" borderId="0" xfId="0" applyFont="1"/>
    <xf numFmtId="0" fontId="70" fillId="0" borderId="89" xfId="0" applyFont="1" applyBorder="1" applyAlignment="1">
      <alignment horizontal="center" vertical="center" wrapText="1"/>
    </xf>
    <xf numFmtId="0" fontId="50" fillId="0" borderId="93" xfId="0" applyFont="1" applyBorder="1" applyAlignment="1">
      <alignment horizontal="center" vertical="center" wrapText="1"/>
    </xf>
    <xf numFmtId="0" fontId="71" fillId="0" borderId="89" xfId="0" applyFont="1" applyBorder="1" applyAlignment="1">
      <alignment horizontal="center" vertical="center" wrapText="1"/>
    </xf>
    <xf numFmtId="0" fontId="69" fillId="0" borderId="93" xfId="0" applyFont="1" applyBorder="1" applyAlignment="1">
      <alignment horizontal="center" vertical="center" wrapText="1"/>
    </xf>
    <xf numFmtId="0" fontId="71" fillId="0" borderId="89" xfId="0" applyFont="1" applyBorder="1" applyAlignment="1">
      <alignment horizontal="center"/>
    </xf>
    <xf numFmtId="0" fontId="69" fillId="0" borderId="93" xfId="0" applyFont="1" applyBorder="1" applyAlignment="1">
      <alignment horizontal="center"/>
    </xf>
    <xf numFmtId="0" fontId="71" fillId="0" borderId="89" xfId="0" applyFont="1" applyBorder="1"/>
    <xf numFmtId="0" fontId="69" fillId="0" borderId="93" xfId="0" applyFont="1" applyBorder="1"/>
    <xf numFmtId="0" fontId="72" fillId="0" borderId="89" xfId="0" applyFont="1" applyBorder="1" applyAlignment="1">
      <alignment horizontal="center" vertical="center" wrapText="1"/>
    </xf>
    <xf numFmtId="0" fontId="73" fillId="0" borderId="93" xfId="0" applyFont="1" applyBorder="1" applyAlignment="1">
      <alignment horizontal="center" vertical="center" wrapText="1"/>
    </xf>
    <xf numFmtId="0" fontId="0" fillId="13" borderId="76" xfId="0" applyFill="1" applyBorder="1" applyAlignment="1">
      <alignment vertical="center"/>
    </xf>
    <xf numFmtId="220" fontId="3" fillId="13" borderId="34" xfId="0" applyNumberFormat="1" applyFont="1" applyFill="1" applyBorder="1" applyAlignment="1" applyProtection="1">
      <alignment horizontal="center" vertical="center"/>
      <protection locked="0"/>
    </xf>
    <xf numFmtId="0" fontId="0" fillId="13" borderId="34" xfId="0" applyFill="1" applyBorder="1" applyAlignment="1" applyProtection="1">
      <alignment horizontal="center" vertical="center" wrapText="1"/>
      <protection locked="0"/>
    </xf>
    <xf numFmtId="0" fontId="0" fillId="13" borderId="127" xfId="0" applyFill="1" applyBorder="1" applyAlignment="1" applyProtection="1">
      <alignment horizontal="center" vertical="center" wrapText="1"/>
      <protection locked="0"/>
    </xf>
    <xf numFmtId="0" fontId="0" fillId="13" borderId="55" xfId="0" applyFill="1" applyBorder="1" applyAlignment="1" applyProtection="1">
      <alignment horizontal="right" vertical="center" wrapText="1"/>
      <protection locked="0"/>
    </xf>
    <xf numFmtId="0" fontId="0" fillId="13" borderId="53" xfId="0" applyFill="1" applyBorder="1" applyAlignment="1" applyProtection="1">
      <alignment vertical="center" wrapText="1"/>
      <protection locked="0"/>
    </xf>
    <xf numFmtId="0" fontId="0" fillId="13" borderId="57" xfId="0" applyFill="1" applyBorder="1" applyAlignment="1" applyProtection="1">
      <alignment vertical="center" wrapText="1"/>
      <protection locked="0"/>
    </xf>
    <xf numFmtId="0" fontId="13" fillId="13" borderId="8" xfId="0" applyFont="1" applyFill="1" applyBorder="1" applyAlignment="1">
      <alignment vertical="center" wrapText="1"/>
    </xf>
    <xf numFmtId="0" fontId="13" fillId="13" borderId="9" xfId="0" applyFont="1" applyFill="1" applyBorder="1" applyAlignment="1">
      <alignment vertical="center" wrapText="1"/>
    </xf>
    <xf numFmtId="0" fontId="3" fillId="13" borderId="28" xfId="0" applyFont="1" applyFill="1" applyBorder="1" applyAlignment="1" applyProtection="1">
      <alignment horizontal="center" vertical="center" wrapText="1"/>
      <protection locked="0"/>
    </xf>
    <xf numFmtId="0" fontId="3" fillId="13" borderId="59" xfId="0" applyFont="1" applyFill="1" applyBorder="1" applyAlignment="1" applyProtection="1">
      <alignment horizontal="center" vertical="center" wrapText="1"/>
      <protection locked="0"/>
    </xf>
    <xf numFmtId="0" fontId="66" fillId="13" borderId="59" xfId="0" applyFont="1" applyFill="1" applyBorder="1" applyAlignment="1" applyProtection="1">
      <alignment horizontal="center" vertical="center" wrapText="1"/>
      <protection locked="0"/>
    </xf>
    <xf numFmtId="0" fontId="66" fillId="13" borderId="64" xfId="0" applyFont="1" applyFill="1" applyBorder="1" applyAlignment="1" applyProtection="1">
      <alignment horizontal="center" vertical="center" wrapText="1"/>
      <protection locked="0"/>
    </xf>
    <xf numFmtId="0" fontId="3" fillId="13" borderId="28" xfId="0" applyFont="1" applyFill="1" applyBorder="1" applyAlignment="1" applyProtection="1">
      <alignment horizontal="left" vertical="center"/>
      <protection locked="0"/>
    </xf>
    <xf numFmtId="165" fontId="3" fillId="35" borderId="94" xfId="0" applyNumberFormat="1" applyFont="1" applyFill="1" applyBorder="1" applyAlignment="1">
      <alignment horizontal="center" vertical="center" wrapText="1"/>
    </xf>
    <xf numFmtId="1" fontId="3" fillId="35" borderId="11" xfId="0" applyNumberFormat="1" applyFont="1" applyFill="1" applyBorder="1" applyAlignment="1">
      <alignment horizontal="center" vertical="center"/>
    </xf>
    <xf numFmtId="165" fontId="3" fillId="35" borderId="161" xfId="0" applyNumberFormat="1" applyFont="1" applyFill="1" applyBorder="1" applyAlignment="1">
      <alignment horizontal="center" vertical="center"/>
    </xf>
    <xf numFmtId="0" fontId="18" fillId="0" borderId="0" xfId="0" applyFont="1" applyAlignment="1">
      <alignment horizontal="center"/>
    </xf>
    <xf numFmtId="0" fontId="3" fillId="0" borderId="0" xfId="0" applyFont="1" applyAlignment="1">
      <alignment horizontal="left" vertical="center" wrapText="1"/>
    </xf>
    <xf numFmtId="165" fontId="60" fillId="17" borderId="29" xfId="0" applyNumberFormat="1" applyFont="1" applyFill="1" applyBorder="1" applyAlignment="1">
      <alignment horizontal="center" vertical="center"/>
    </xf>
    <xf numFmtId="0" fontId="0" fillId="22" borderId="29" xfId="0" applyFill="1" applyBorder="1" applyAlignment="1" applyProtection="1">
      <alignment horizontal="left" vertical="center"/>
      <protection locked="0"/>
    </xf>
    <xf numFmtId="0" fontId="74" fillId="0" borderId="0" xfId="0" applyFont="1"/>
    <xf numFmtId="0" fontId="43" fillId="0" borderId="0" xfId="0" applyFont="1"/>
    <xf numFmtId="166" fontId="0" fillId="5" borderId="15" xfId="0" applyNumberFormat="1" applyFill="1" applyBorder="1" applyAlignment="1">
      <alignment horizontal="left" vertical="center"/>
    </xf>
    <xf numFmtId="0" fontId="75" fillId="0" borderId="0" xfId="0" applyFont="1" applyAlignment="1">
      <alignment wrapText="1"/>
    </xf>
    <xf numFmtId="0" fontId="50" fillId="23" borderId="0" xfId="0" applyFont="1" applyFill="1" applyAlignment="1" applyProtection="1">
      <alignment horizontal="left" vertical="center"/>
      <protection locked="0"/>
    </xf>
    <xf numFmtId="0" fontId="50" fillId="0" borderId="0" xfId="0" applyFont="1"/>
    <xf numFmtId="0" fontId="0" fillId="0" borderId="0" xfId="0" applyAlignment="1">
      <alignment horizontal="left" vertical="center" indent="2"/>
    </xf>
    <xf numFmtId="0" fontId="0" fillId="0" borderId="0" xfId="0" applyAlignment="1">
      <alignment horizontal="left" vertical="center"/>
    </xf>
    <xf numFmtId="0" fontId="76" fillId="0" borderId="0" xfId="0" applyFont="1"/>
    <xf numFmtId="168" fontId="0" fillId="19" borderId="28" xfId="0" applyNumberFormat="1" applyFill="1" applyBorder="1" applyAlignment="1">
      <alignment horizontal="left" vertical="center"/>
    </xf>
    <xf numFmtId="183" fontId="0" fillId="19" borderId="28" xfId="0" applyNumberFormat="1" applyFill="1" applyBorder="1" applyAlignment="1" applyProtection="1">
      <alignment horizontal="right" vertical="center"/>
      <protection locked="0"/>
    </xf>
    <xf numFmtId="1" fontId="3" fillId="35" borderId="94" xfId="0" applyNumberFormat="1" applyFont="1" applyFill="1" applyBorder="1" applyAlignment="1">
      <alignment horizontal="center" vertical="center" wrapText="1"/>
    </xf>
    <xf numFmtId="1" fontId="3" fillId="35" borderId="4" xfId="0" applyNumberFormat="1" applyFont="1" applyFill="1" applyBorder="1" applyAlignment="1">
      <alignment horizontal="center" vertical="center"/>
    </xf>
    <xf numFmtId="0" fontId="3" fillId="0" borderId="0" xfId="0" applyFont="1" applyAlignment="1">
      <alignment horizontal="left" vertical="center" indent="1"/>
    </xf>
    <xf numFmtId="0" fontId="3" fillId="0" borderId="0" xfId="0" applyFont="1" applyAlignment="1">
      <alignment horizontal="left" vertical="center" indent="2"/>
    </xf>
    <xf numFmtId="0" fontId="0" fillId="11" borderId="15" xfId="0" applyFill="1" applyBorder="1" applyAlignment="1">
      <alignment horizontal="center" vertical="center"/>
    </xf>
    <xf numFmtId="0" fontId="0" fillId="11" borderId="16" xfId="0" applyFill="1" applyBorder="1" applyAlignment="1">
      <alignment horizontal="center" vertical="center"/>
    </xf>
    <xf numFmtId="9" fontId="0" fillId="0" borderId="0" xfId="0" applyNumberFormat="1" applyAlignment="1">
      <alignment vertical="center" wrapText="1"/>
    </xf>
    <xf numFmtId="166" fontId="0" fillId="11" borderId="11" xfId="0" applyNumberFormat="1" applyFill="1" applyBorder="1" applyAlignment="1">
      <alignment horizontal="center" vertical="center" wrapText="1"/>
    </xf>
    <xf numFmtId="0" fontId="77" fillId="0" borderId="0" xfId="0" applyFont="1" applyAlignment="1">
      <alignment vertical="center"/>
    </xf>
    <xf numFmtId="0" fontId="3" fillId="4" borderId="11" xfId="0" applyFont="1" applyFill="1" applyBorder="1" applyAlignment="1">
      <alignment horizontal="left" vertical="center"/>
    </xf>
    <xf numFmtId="0" fontId="4" fillId="0" borderId="0" xfId="0" applyFont="1" applyAlignment="1">
      <alignment vertical="center"/>
    </xf>
    <xf numFmtId="0" fontId="78" fillId="0" borderId="0" xfId="0" applyFont="1" applyAlignment="1">
      <alignment vertical="center"/>
    </xf>
    <xf numFmtId="0" fontId="3" fillId="0" borderId="0" xfId="0" applyFont="1" applyAlignment="1">
      <alignment horizontal="left" vertical="center"/>
    </xf>
    <xf numFmtId="0" fontId="3" fillId="2" borderId="3" xfId="0" applyFont="1" applyFill="1" applyBorder="1" applyAlignment="1">
      <alignment horizontal="center" vertical="center"/>
    </xf>
    <xf numFmtId="9" fontId="0" fillId="7" borderId="11" xfId="0" applyNumberFormat="1" applyFill="1" applyBorder="1" applyAlignment="1">
      <alignment horizontal="center" vertical="center" wrapText="1"/>
    </xf>
    <xf numFmtId="9" fontId="3" fillId="7" borderId="11" xfId="0" applyNumberFormat="1" applyFont="1" applyFill="1" applyBorder="1" applyAlignment="1">
      <alignment horizontal="center" vertical="center" wrapText="1"/>
    </xf>
    <xf numFmtId="0" fontId="3" fillId="7" borderId="10" xfId="0" applyFont="1" applyFill="1" applyBorder="1" applyAlignment="1">
      <alignment horizontal="center" vertical="center" wrapText="1"/>
    </xf>
    <xf numFmtId="0" fontId="3" fillId="7" borderId="11" xfId="0" applyFont="1" applyFill="1" applyBorder="1" applyAlignment="1">
      <alignment horizontal="center" vertical="center" wrapText="1"/>
    </xf>
    <xf numFmtId="0" fontId="77" fillId="35" borderId="0" xfId="0" applyFont="1" applyFill="1" applyAlignment="1">
      <alignment vertical="center"/>
    </xf>
    <xf numFmtId="0" fontId="4" fillId="35" borderId="0" xfId="0" applyFont="1" applyFill="1"/>
    <xf numFmtId="0" fontId="4" fillId="35" borderId="0" xfId="0" applyFont="1" applyFill="1" applyAlignment="1">
      <alignment vertical="center"/>
    </xf>
    <xf numFmtId="0" fontId="78" fillId="61" borderId="0" xfId="0" applyFont="1" applyFill="1" applyAlignment="1">
      <alignment vertical="center"/>
    </xf>
    <xf numFmtId="0" fontId="4" fillId="61" borderId="0" xfId="0" applyFont="1" applyFill="1"/>
    <xf numFmtId="0" fontId="4" fillId="61" borderId="0" xfId="0" applyFont="1" applyFill="1" applyAlignment="1">
      <alignment vertical="center"/>
    </xf>
    <xf numFmtId="0" fontId="3" fillId="61" borderId="0" xfId="0" applyFont="1" applyFill="1" applyAlignment="1">
      <alignment horizontal="center" vertical="center" wrapText="1"/>
    </xf>
    <xf numFmtId="0" fontId="3" fillId="61" borderId="0" xfId="0" applyFont="1" applyFill="1" applyAlignment="1">
      <alignment vertical="center" wrapText="1"/>
    </xf>
    <xf numFmtId="0" fontId="3" fillId="35" borderId="0" xfId="0" applyFont="1" applyFill="1" applyAlignment="1">
      <alignment vertical="center" wrapText="1"/>
    </xf>
    <xf numFmtId="0" fontId="18" fillId="35" borderId="0" xfId="0" applyFont="1" applyFill="1" applyAlignment="1">
      <alignment vertical="center"/>
    </xf>
    <xf numFmtId="0" fontId="53" fillId="2" borderId="11" xfId="0" applyFont="1" applyFill="1" applyBorder="1" applyAlignment="1">
      <alignment horizontal="center" vertical="center" wrapText="1"/>
    </xf>
    <xf numFmtId="0" fontId="77" fillId="10" borderId="0" xfId="0" applyFont="1" applyFill="1" applyAlignment="1">
      <alignment horizontal="center" vertical="center"/>
    </xf>
    <xf numFmtId="0" fontId="0" fillId="4" borderId="11" xfId="0" applyFill="1" applyBorder="1" applyAlignment="1">
      <alignment horizontal="center" vertical="center"/>
    </xf>
    <xf numFmtId="0" fontId="0" fillId="4" borderId="11" xfId="0" applyFill="1" applyBorder="1" applyAlignment="1">
      <alignment horizontal="center" vertical="center" wrapText="1"/>
    </xf>
    <xf numFmtId="0" fontId="0" fillId="4" borderId="19" xfId="0" applyFill="1" applyBorder="1" applyAlignment="1">
      <alignment horizontal="center" vertical="center"/>
    </xf>
    <xf numFmtId="0" fontId="0" fillId="4" borderId="19" xfId="0" applyFill="1" applyBorder="1" applyAlignment="1">
      <alignment horizontal="center" vertical="center" wrapText="1"/>
    </xf>
    <xf numFmtId="0" fontId="81" fillId="32" borderId="94" xfId="0" applyFont="1" applyFill="1" applyBorder="1" applyAlignment="1">
      <alignment horizontal="center" vertical="center"/>
    </xf>
    <xf numFmtId="0" fontId="82" fillId="0" borderId="0" xfId="0" applyFont="1" applyAlignment="1">
      <alignment horizontal="left" vertical="center" wrapText="1" indent="1"/>
    </xf>
    <xf numFmtId="0" fontId="3" fillId="5" borderId="42" xfId="0" applyFont="1" applyFill="1" applyBorder="1" applyAlignment="1">
      <alignment horizontal="center" vertical="center" wrapText="1"/>
    </xf>
    <xf numFmtId="0" fontId="0" fillId="5" borderId="19" xfId="0" applyFill="1" applyBorder="1" applyAlignment="1">
      <alignment horizontal="center" vertical="center" wrapText="1"/>
    </xf>
    <xf numFmtId="0" fontId="0" fillId="5" borderId="0" xfId="0" applyFill="1" applyAlignment="1">
      <alignment horizontal="center" vertical="center"/>
    </xf>
    <xf numFmtId="9" fontId="0" fillId="5" borderId="12" xfId="0" applyNumberFormat="1" applyFill="1" applyBorder="1" applyAlignment="1">
      <alignment horizontal="center" vertical="center"/>
    </xf>
    <xf numFmtId="0" fontId="0" fillId="23" borderId="0" xfId="0" applyFill="1" applyAlignment="1" applyProtection="1">
      <alignment horizontal="left" vertical="center"/>
      <protection locked="0"/>
    </xf>
    <xf numFmtId="0" fontId="74" fillId="23" borderId="0" xfId="0" applyFont="1" applyFill="1"/>
    <xf numFmtId="0" fontId="3" fillId="23" borderId="0" xfId="0" applyFont="1" applyFill="1" applyAlignment="1">
      <alignment horizontal="right"/>
    </xf>
    <xf numFmtId="0" fontId="3" fillId="61" borderId="43" xfId="0" applyFont="1" applyFill="1" applyBorder="1" applyAlignment="1">
      <alignment horizontal="center" vertical="center"/>
    </xf>
    <xf numFmtId="14" fontId="3" fillId="35" borderId="11" xfId="1" applyNumberFormat="1" applyFont="1" applyFill="1" applyBorder="1" applyAlignment="1">
      <alignment horizontal="center" vertical="center"/>
    </xf>
    <xf numFmtId="171" fontId="3" fillId="35" borderId="11" xfId="1" applyNumberFormat="1" applyFont="1" applyFill="1" applyBorder="1" applyAlignment="1">
      <alignment horizontal="center" vertical="center"/>
    </xf>
    <xf numFmtId="164" fontId="3" fillId="35" borderId="12" xfId="0" applyNumberFormat="1" applyFont="1" applyFill="1" applyBorder="1" applyAlignment="1">
      <alignment horizontal="center" vertical="center"/>
    </xf>
    <xf numFmtId="164" fontId="3" fillId="35" borderId="16" xfId="0" applyNumberFormat="1" applyFont="1" applyFill="1" applyBorder="1" applyAlignment="1">
      <alignment horizontal="center" vertical="center"/>
    </xf>
    <xf numFmtId="0" fontId="3" fillId="61" borderId="37" xfId="0" applyFont="1" applyFill="1" applyBorder="1" applyAlignment="1">
      <alignment horizontal="center" vertical="center"/>
    </xf>
    <xf numFmtId="0" fontId="85" fillId="0" borderId="0" xfId="0" applyFont="1" applyAlignment="1">
      <alignment horizontal="justify" vertical="center" wrapText="1"/>
    </xf>
    <xf numFmtId="0" fontId="86" fillId="0" borderId="0" xfId="0" applyFont="1" applyAlignment="1">
      <alignment horizontal="justify" vertical="center" wrapText="1"/>
    </xf>
    <xf numFmtId="0" fontId="37" fillId="0" borderId="0" xfId="2" applyAlignment="1">
      <alignment horizontal="justify" vertical="center" wrapText="1"/>
    </xf>
    <xf numFmtId="0" fontId="0" fillId="0" borderId="0" xfId="0" applyAlignment="1">
      <alignment wrapText="1"/>
    </xf>
    <xf numFmtId="0" fontId="0" fillId="4" borderId="49" xfId="1" applyNumberFormat="1" applyFont="1" applyFill="1" applyBorder="1" applyAlignment="1">
      <alignment horizontal="center" vertical="center"/>
    </xf>
    <xf numFmtId="9" fontId="0" fillId="4" borderId="49" xfId="1" applyFont="1" applyFill="1" applyBorder="1" applyAlignment="1">
      <alignment horizontal="center" vertical="center"/>
    </xf>
    <xf numFmtId="0" fontId="0" fillId="0" borderId="89" xfId="0" applyBorder="1" applyAlignment="1">
      <alignment horizontal="center" vertical="center" wrapText="1"/>
    </xf>
    <xf numFmtId="0" fontId="0" fillId="0" borderId="93" xfId="0" applyBorder="1" applyAlignment="1">
      <alignment horizontal="center" vertical="center" wrapText="1"/>
    </xf>
    <xf numFmtId="0" fontId="0" fillId="0" borderId="89" xfId="0" applyBorder="1" applyAlignment="1">
      <alignment horizontal="center"/>
    </xf>
    <xf numFmtId="0" fontId="0" fillId="0" borderId="93" xfId="0" applyBorder="1" applyAlignment="1">
      <alignment horizontal="center"/>
    </xf>
    <xf numFmtId="0" fontId="13" fillId="13" borderId="34" xfId="0" applyFont="1" applyFill="1" applyBorder="1" applyAlignment="1">
      <alignment horizontal="center" vertical="center"/>
    </xf>
    <xf numFmtId="0" fontId="13" fillId="13" borderId="31" xfId="0" applyFont="1" applyFill="1" applyBorder="1" applyAlignment="1">
      <alignment horizontal="center" vertical="center"/>
    </xf>
    <xf numFmtId="0" fontId="13" fillId="13" borderId="32" xfId="0" applyFont="1" applyFill="1" applyBorder="1" applyAlignment="1">
      <alignment horizontal="center" vertical="center"/>
    </xf>
    <xf numFmtId="170" fontId="0" fillId="12" borderId="35" xfId="0" applyNumberFormat="1" applyFill="1" applyBorder="1" applyAlignment="1" applyProtection="1">
      <alignment horizontal="center" vertical="center"/>
      <protection locked="0"/>
    </xf>
    <xf numFmtId="170" fontId="0" fillId="12" borderId="36" xfId="0" applyNumberFormat="1" applyFill="1" applyBorder="1" applyAlignment="1" applyProtection="1">
      <alignment horizontal="center" vertical="center"/>
      <protection locked="0"/>
    </xf>
    <xf numFmtId="168" fontId="0" fillId="12" borderId="35" xfId="0" applyNumberFormat="1" applyFill="1" applyBorder="1" applyAlignment="1" applyProtection="1">
      <alignment horizontal="center" vertical="center"/>
      <protection locked="0"/>
    </xf>
    <xf numFmtId="168" fontId="0" fillId="12" borderId="36" xfId="0" applyNumberFormat="1" applyFill="1" applyBorder="1" applyAlignment="1" applyProtection="1">
      <alignment horizontal="center" vertical="center"/>
      <protection locked="0"/>
    </xf>
    <xf numFmtId="0" fontId="3" fillId="15" borderId="34" xfId="0" applyFont="1" applyFill="1" applyBorder="1" applyAlignment="1">
      <alignment horizontal="center" vertical="center"/>
    </xf>
    <xf numFmtId="0" fontId="3" fillId="15" borderId="31" xfId="0" applyFont="1" applyFill="1" applyBorder="1" applyAlignment="1">
      <alignment horizontal="center" vertical="center"/>
    </xf>
    <xf numFmtId="0" fontId="3" fillId="15" borderId="86" xfId="0" applyFont="1" applyFill="1" applyBorder="1" applyAlignment="1">
      <alignment horizontal="center" vertical="center"/>
    </xf>
    <xf numFmtId="0" fontId="3" fillId="12" borderId="92" xfId="0" applyFont="1" applyFill="1" applyBorder="1" applyAlignment="1">
      <alignment horizontal="center"/>
    </xf>
    <xf numFmtId="0" fontId="3" fillId="12" borderId="71" xfId="0" applyFont="1" applyFill="1" applyBorder="1" applyAlignment="1">
      <alignment horizontal="center"/>
    </xf>
    <xf numFmtId="0" fontId="13" fillId="13" borderId="51" xfId="0" applyFont="1" applyFill="1" applyBorder="1" applyAlignment="1">
      <alignment horizontal="center" vertical="center" wrapText="1"/>
    </xf>
    <xf numFmtId="0" fontId="13" fillId="13" borderId="52" xfId="0" applyFont="1" applyFill="1" applyBorder="1" applyAlignment="1">
      <alignment horizontal="center" vertical="center" wrapText="1"/>
    </xf>
    <xf numFmtId="0" fontId="21" fillId="23" borderId="1" xfId="0" applyFont="1" applyFill="1" applyBorder="1" applyAlignment="1" applyProtection="1">
      <alignment horizontal="center" vertical="center"/>
      <protection locked="0"/>
    </xf>
    <xf numFmtId="0" fontId="21" fillId="23" borderId="2" xfId="0" applyFont="1" applyFill="1" applyBorder="1" applyAlignment="1" applyProtection="1">
      <alignment horizontal="center" vertical="center"/>
      <protection locked="0"/>
    </xf>
    <xf numFmtId="0" fontId="21" fillId="23" borderId="3" xfId="0" applyFont="1" applyFill="1" applyBorder="1" applyAlignment="1" applyProtection="1">
      <alignment horizontal="center" vertical="center"/>
      <protection locked="0"/>
    </xf>
    <xf numFmtId="0" fontId="26" fillId="23" borderId="1" xfId="0" applyFont="1" applyFill="1" applyBorder="1" applyAlignment="1" applyProtection="1">
      <alignment horizontal="center" vertical="center"/>
      <protection locked="0"/>
    </xf>
    <xf numFmtId="0" fontId="26" fillId="23" borderId="2" xfId="0" applyFont="1" applyFill="1" applyBorder="1" applyAlignment="1" applyProtection="1">
      <alignment horizontal="center" vertical="center"/>
      <protection locked="0"/>
    </xf>
    <xf numFmtId="0" fontId="26" fillId="23" borderId="3" xfId="0" applyFont="1" applyFill="1" applyBorder="1" applyAlignment="1" applyProtection="1">
      <alignment horizontal="center" vertical="center"/>
      <protection locked="0"/>
    </xf>
    <xf numFmtId="0" fontId="25" fillId="23" borderId="8" xfId="0" applyFont="1" applyFill="1" applyBorder="1" applyAlignment="1" applyProtection="1">
      <alignment horizontal="center" vertical="center"/>
      <protection locked="0"/>
    </xf>
    <xf numFmtId="0" fontId="34" fillId="23" borderId="8" xfId="0" applyFont="1" applyFill="1" applyBorder="1" applyAlignment="1" applyProtection="1">
      <alignment horizontal="center" vertical="center" wrapText="1"/>
      <protection locked="0"/>
    </xf>
    <xf numFmtId="0" fontId="34" fillId="23" borderId="8" xfId="0" applyFont="1" applyFill="1" applyBorder="1" applyAlignment="1" applyProtection="1">
      <alignment horizontal="center" vertical="center"/>
      <protection locked="0"/>
    </xf>
    <xf numFmtId="0" fontId="7" fillId="12" borderId="66" xfId="0" applyFont="1" applyFill="1" applyBorder="1" applyAlignment="1" applyProtection="1">
      <alignment horizontal="center" vertical="center"/>
      <protection locked="0"/>
    </xf>
    <xf numFmtId="0" fontId="7" fillId="12" borderId="67" xfId="0" applyFont="1" applyFill="1" applyBorder="1" applyAlignment="1" applyProtection="1">
      <alignment horizontal="center" vertical="center"/>
      <protection locked="0"/>
    </xf>
    <xf numFmtId="0" fontId="3" fillId="3" borderId="68" xfId="0" applyFont="1" applyFill="1" applyBorder="1" applyAlignment="1">
      <alignment horizontal="center" vertical="center"/>
    </xf>
    <xf numFmtId="0" fontId="3" fillId="3" borderId="8" xfId="0" applyFont="1" applyFill="1" applyBorder="1" applyAlignment="1">
      <alignment horizontal="center" vertical="center"/>
    </xf>
    <xf numFmtId="0" fontId="3" fillId="3" borderId="9" xfId="0" applyFont="1" applyFill="1" applyBorder="1" applyAlignment="1">
      <alignment horizontal="center" vertical="center"/>
    </xf>
    <xf numFmtId="0" fontId="13" fillId="15" borderId="7" xfId="0" applyFont="1" applyFill="1" applyBorder="1" applyAlignment="1">
      <alignment horizontal="center" vertical="center"/>
    </xf>
    <xf numFmtId="0" fontId="13" fillId="15" borderId="88" xfId="0" applyFont="1" applyFill="1" applyBorder="1" applyAlignment="1">
      <alignment horizontal="center" vertical="center"/>
    </xf>
    <xf numFmtId="0" fontId="13" fillId="15" borderId="89" xfId="0" applyFont="1" applyFill="1" applyBorder="1" applyAlignment="1">
      <alignment horizontal="center" vertical="center"/>
    </xf>
    <xf numFmtId="0" fontId="13" fillId="15" borderId="52" xfId="0" applyFont="1" applyFill="1" applyBorder="1" applyAlignment="1">
      <alignment horizontal="center" vertical="center"/>
    </xf>
    <xf numFmtId="0" fontId="13" fillId="15" borderId="4" xfId="0" applyFont="1" applyFill="1" applyBorder="1" applyAlignment="1">
      <alignment horizontal="center" vertical="center"/>
    </xf>
    <xf numFmtId="0" fontId="13" fillId="15" borderId="91" xfId="0" applyFont="1" applyFill="1" applyBorder="1" applyAlignment="1">
      <alignment horizontal="center" vertical="center"/>
    </xf>
    <xf numFmtId="0" fontId="3" fillId="15" borderId="56" xfId="0" applyFont="1" applyFill="1" applyBorder="1" applyAlignment="1">
      <alignment horizontal="center" vertical="center"/>
    </xf>
    <xf numFmtId="0" fontId="3" fillId="15" borderId="53" xfId="0" applyFont="1" applyFill="1" applyBorder="1" applyAlignment="1">
      <alignment horizontal="center" vertical="center"/>
    </xf>
    <xf numFmtId="0" fontId="3" fillId="15" borderId="57" xfId="0" applyFont="1" applyFill="1" applyBorder="1" applyAlignment="1">
      <alignment horizontal="center" vertical="center"/>
    </xf>
    <xf numFmtId="0" fontId="13" fillId="4" borderId="75" xfId="0" applyFont="1" applyFill="1" applyBorder="1" applyAlignment="1">
      <alignment horizontal="center" vertical="center"/>
    </xf>
    <xf numFmtId="0" fontId="13" fillId="4" borderId="76" xfId="0" applyFont="1" applyFill="1" applyBorder="1" applyAlignment="1">
      <alignment horizontal="center" vertical="center"/>
    </xf>
    <xf numFmtId="0" fontId="13" fillId="4" borderId="77" xfId="0" applyFont="1" applyFill="1" applyBorder="1" applyAlignment="1">
      <alignment horizontal="center" vertical="center"/>
    </xf>
    <xf numFmtId="0" fontId="0" fillId="23" borderId="2" xfId="0" applyFill="1" applyBorder="1" applyAlignment="1" applyProtection="1">
      <alignment horizontal="center" vertical="center"/>
      <protection locked="0"/>
    </xf>
    <xf numFmtId="0" fontId="0" fillId="23" borderId="2" xfId="0" applyFill="1" applyBorder="1" applyAlignment="1" applyProtection="1">
      <alignment horizontal="left" vertical="center"/>
      <protection locked="0"/>
    </xf>
    <xf numFmtId="0" fontId="13" fillId="16" borderId="7" xfId="0" applyFont="1" applyFill="1" applyBorder="1" applyAlignment="1">
      <alignment horizontal="center" vertical="center"/>
    </xf>
    <xf numFmtId="0" fontId="13" fillId="16" borderId="88" xfId="0" applyFont="1" applyFill="1" applyBorder="1" applyAlignment="1">
      <alignment horizontal="center" vertical="center"/>
    </xf>
    <xf numFmtId="0" fontId="13" fillId="16" borderId="4" xfId="0" applyFont="1" applyFill="1" applyBorder="1" applyAlignment="1">
      <alignment horizontal="center" vertical="center"/>
    </xf>
    <xf numFmtId="0" fontId="13" fillId="16" borderId="91" xfId="0" applyFont="1" applyFill="1" applyBorder="1" applyAlignment="1">
      <alignment horizontal="center" vertical="center"/>
    </xf>
    <xf numFmtId="0" fontId="3" fillId="16" borderId="84" xfId="0" applyFont="1" applyFill="1" applyBorder="1" applyAlignment="1">
      <alignment horizontal="center" vertical="center"/>
    </xf>
    <xf numFmtId="0" fontId="3" fillId="16" borderId="86" xfId="0" applyFont="1" applyFill="1" applyBorder="1" applyAlignment="1">
      <alignment horizontal="center" vertical="center"/>
    </xf>
    <xf numFmtId="197" fontId="0" fillId="16" borderId="56" xfId="0" applyNumberFormat="1" applyFill="1" applyBorder="1" applyAlignment="1">
      <alignment horizontal="center" vertical="center"/>
    </xf>
    <xf numFmtId="197" fontId="0" fillId="16" borderId="57" xfId="0" applyNumberFormat="1" applyFill="1" applyBorder="1" applyAlignment="1">
      <alignment horizontal="center" vertical="center"/>
    </xf>
    <xf numFmtId="0" fontId="3" fillId="16" borderId="84" xfId="0" applyFont="1" applyFill="1" applyBorder="1" applyAlignment="1">
      <alignment horizontal="center" vertical="center" wrapText="1"/>
    </xf>
    <xf numFmtId="0" fontId="3" fillId="16" borderId="86" xfId="0" applyFont="1" applyFill="1" applyBorder="1" applyAlignment="1">
      <alignment horizontal="center" vertical="center" wrapText="1"/>
    </xf>
    <xf numFmtId="165" fontId="0" fillId="16" borderId="85" xfId="0" applyNumberFormat="1" applyFill="1" applyBorder="1" applyAlignment="1" applyProtection="1">
      <alignment horizontal="center" vertical="center"/>
      <protection locked="0"/>
    </xf>
    <xf numFmtId="165" fontId="0" fillId="16" borderId="87" xfId="0" applyNumberFormat="1" applyFill="1" applyBorder="1" applyAlignment="1" applyProtection="1">
      <alignment horizontal="center" vertical="center"/>
      <protection locked="0"/>
    </xf>
    <xf numFmtId="0" fontId="28" fillId="31" borderId="0" xfId="0" applyFont="1" applyFill="1" applyAlignment="1">
      <alignment horizontal="center"/>
    </xf>
    <xf numFmtId="171" fontId="0" fillId="16" borderId="62" xfId="0" applyNumberFormat="1" applyFill="1" applyBorder="1" applyAlignment="1">
      <alignment horizontal="center" vertical="center"/>
    </xf>
    <xf numFmtId="171" fontId="0" fillId="16" borderId="63" xfId="0" applyNumberFormat="1" applyFill="1" applyBorder="1" applyAlignment="1">
      <alignment horizontal="center" vertical="center"/>
    </xf>
    <xf numFmtId="0" fontId="0" fillId="0" borderId="2" xfId="0" applyBorder="1" applyAlignment="1" applyProtection="1">
      <alignment horizontal="center" vertical="center"/>
      <protection locked="0"/>
    </xf>
    <xf numFmtId="0" fontId="13" fillId="17" borderId="7" xfId="0" applyFont="1" applyFill="1" applyBorder="1" applyAlignment="1">
      <alignment horizontal="center" vertical="center"/>
    </xf>
    <xf numFmtId="0" fontId="13" fillId="17" borderId="88" xfId="0" applyFont="1" applyFill="1" applyBorder="1" applyAlignment="1">
      <alignment horizontal="center" vertical="center"/>
    </xf>
    <xf numFmtId="0" fontId="13" fillId="17" borderId="89" xfId="0" applyFont="1" applyFill="1" applyBorder="1" applyAlignment="1">
      <alignment horizontal="center" vertical="center"/>
    </xf>
    <xf numFmtId="0" fontId="13" fillId="17" borderId="52" xfId="0" applyFont="1" applyFill="1" applyBorder="1" applyAlignment="1">
      <alignment horizontal="center" vertical="center"/>
    </xf>
    <xf numFmtId="0" fontId="13" fillId="17" borderId="4" xfId="0" applyFont="1" applyFill="1" applyBorder="1" applyAlignment="1">
      <alignment horizontal="center" vertical="center"/>
    </xf>
    <xf numFmtId="0" fontId="13" fillId="17" borderId="91" xfId="0" applyFont="1" applyFill="1" applyBorder="1" applyAlignment="1">
      <alignment horizontal="center" vertical="center"/>
    </xf>
    <xf numFmtId="0" fontId="3" fillId="17" borderId="56" xfId="0" applyFont="1" applyFill="1" applyBorder="1" applyAlignment="1">
      <alignment horizontal="center" vertical="center" wrapText="1"/>
    </xf>
    <xf numFmtId="0" fontId="3" fillId="17" borderId="57" xfId="0" applyFont="1" applyFill="1" applyBorder="1" applyAlignment="1">
      <alignment horizontal="center" vertical="center" wrapText="1"/>
    </xf>
    <xf numFmtId="0" fontId="3" fillId="17" borderId="79" xfId="0" applyFont="1" applyFill="1" applyBorder="1" applyAlignment="1">
      <alignment horizontal="center" vertical="center" wrapText="1"/>
    </xf>
    <xf numFmtId="165" fontId="0" fillId="17" borderId="29" xfId="0" applyNumberFormat="1" applyFill="1" applyBorder="1" applyAlignment="1">
      <alignment horizontal="center" vertical="center"/>
    </xf>
    <xf numFmtId="165" fontId="0" fillId="17" borderId="30" xfId="0" applyNumberFormat="1" applyFill="1" applyBorder="1" applyAlignment="1">
      <alignment horizontal="center" vertical="center"/>
    </xf>
    <xf numFmtId="165" fontId="0" fillId="17" borderId="29" xfId="0" applyNumberFormat="1" applyFill="1" applyBorder="1" applyAlignment="1" applyProtection="1">
      <alignment horizontal="center" vertical="center"/>
      <protection locked="0"/>
    </xf>
    <xf numFmtId="165" fontId="0" fillId="17" borderId="70" xfId="0" applyNumberFormat="1" applyFill="1" applyBorder="1" applyAlignment="1" applyProtection="1">
      <alignment horizontal="center" vertical="center"/>
      <protection locked="0"/>
    </xf>
    <xf numFmtId="197" fontId="0" fillId="17" borderId="29" xfId="0" applyNumberFormat="1" applyFill="1" applyBorder="1" applyAlignment="1">
      <alignment horizontal="center" vertical="center"/>
    </xf>
    <xf numFmtId="197" fontId="0" fillId="17" borderId="30" xfId="0" applyNumberFormat="1" applyFill="1" applyBorder="1" applyAlignment="1">
      <alignment horizontal="center" vertical="center"/>
    </xf>
    <xf numFmtId="197" fontId="0" fillId="17" borderId="29" xfId="0" applyNumberFormat="1" applyFill="1" applyBorder="1" applyAlignment="1" applyProtection="1">
      <alignment horizontal="center" vertical="center"/>
      <protection locked="0"/>
    </xf>
    <xf numFmtId="197" fontId="0" fillId="17" borderId="70" xfId="0" applyNumberFormat="1" applyFill="1" applyBorder="1" applyAlignment="1" applyProtection="1">
      <alignment horizontal="center" vertical="center"/>
      <protection locked="0"/>
    </xf>
    <xf numFmtId="166" fontId="6" fillId="18" borderId="19" xfId="0" applyNumberFormat="1" applyFont="1" applyFill="1" applyBorder="1" applyAlignment="1">
      <alignment horizontal="center" vertical="center"/>
    </xf>
    <xf numFmtId="166" fontId="6" fillId="18" borderId="37" xfId="0" applyNumberFormat="1" applyFont="1" applyFill="1" applyBorder="1" applyAlignment="1">
      <alignment horizontal="center" vertical="center"/>
    </xf>
    <xf numFmtId="166" fontId="6" fillId="18" borderId="13" xfId="0" applyNumberFormat="1" applyFont="1" applyFill="1" applyBorder="1" applyAlignment="1">
      <alignment horizontal="center" vertical="center"/>
    </xf>
    <xf numFmtId="166" fontId="6" fillId="14" borderId="19" xfId="0" applyNumberFormat="1" applyFont="1" applyFill="1" applyBorder="1" applyAlignment="1">
      <alignment horizontal="center" vertical="center"/>
    </xf>
    <xf numFmtId="166" fontId="6" fillId="14" borderId="37" xfId="0" applyNumberFormat="1" applyFont="1" applyFill="1" applyBorder="1" applyAlignment="1">
      <alignment horizontal="center" vertical="center"/>
    </xf>
    <xf numFmtId="166" fontId="6" fillId="14" borderId="13" xfId="0" applyNumberFormat="1" applyFont="1" applyFill="1" applyBorder="1" applyAlignment="1">
      <alignment horizontal="center" vertical="center"/>
    </xf>
    <xf numFmtId="165" fontId="0" fillId="7" borderId="29" xfId="0" applyNumberFormat="1" applyFill="1" applyBorder="1" applyAlignment="1">
      <alignment horizontal="center" vertical="center"/>
    </xf>
    <xf numFmtId="165" fontId="0" fillId="7" borderId="30" xfId="0" applyNumberFormat="1" applyFill="1" applyBorder="1" applyAlignment="1">
      <alignment horizontal="center" vertical="center"/>
    </xf>
    <xf numFmtId="165" fontId="0" fillId="7" borderId="29" xfId="0" applyNumberFormat="1" applyFill="1" applyBorder="1" applyAlignment="1" applyProtection="1">
      <alignment horizontal="center" vertical="center"/>
      <protection locked="0"/>
    </xf>
    <xf numFmtId="165" fontId="0" fillId="7" borderId="70" xfId="0" applyNumberFormat="1" applyFill="1" applyBorder="1" applyAlignment="1" applyProtection="1">
      <alignment horizontal="center" vertical="center"/>
      <protection locked="0"/>
    </xf>
    <xf numFmtId="166" fontId="3" fillId="18" borderId="19" xfId="0" applyNumberFormat="1" applyFont="1" applyFill="1" applyBorder="1" applyAlignment="1">
      <alignment horizontal="center" vertical="center"/>
    </xf>
    <xf numFmtId="166" fontId="3" fillId="18" borderId="13" xfId="0" applyNumberFormat="1" applyFont="1" applyFill="1" applyBorder="1" applyAlignment="1">
      <alignment horizontal="center" vertical="center"/>
    </xf>
    <xf numFmtId="1" fontId="3" fillId="14" borderId="11" xfId="0" applyNumberFormat="1" applyFont="1" applyFill="1" applyBorder="1" applyAlignment="1">
      <alignment horizontal="center" vertical="center"/>
    </xf>
    <xf numFmtId="0" fontId="13" fillId="4" borderId="78" xfId="0" applyFont="1" applyFill="1" applyBorder="1" applyAlignment="1">
      <alignment horizontal="center" vertical="center"/>
    </xf>
    <xf numFmtId="0" fontId="13" fillId="4" borderId="80" xfId="0" applyFont="1" applyFill="1" applyBorder="1" applyAlignment="1">
      <alignment horizontal="center" vertical="center"/>
    </xf>
    <xf numFmtId="0" fontId="3" fillId="17" borderId="34" xfId="0" applyFont="1" applyFill="1" applyBorder="1" applyAlignment="1">
      <alignment horizontal="center" vertical="center" wrapText="1"/>
    </xf>
    <xf numFmtId="0" fontId="3" fillId="17" borderId="86" xfId="0" applyFont="1" applyFill="1" applyBorder="1" applyAlignment="1">
      <alignment horizontal="center" vertical="center" wrapText="1"/>
    </xf>
    <xf numFmtId="9" fontId="0" fillId="17" borderId="45" xfId="0" applyNumberFormat="1" applyFill="1" applyBorder="1" applyAlignment="1">
      <alignment horizontal="center" vertical="center"/>
    </xf>
    <xf numFmtId="9" fontId="0" fillId="17" borderId="51" xfId="0" applyNumberFormat="1" applyFill="1" applyBorder="1" applyAlignment="1">
      <alignment horizontal="center" vertical="center"/>
    </xf>
    <xf numFmtId="9" fontId="0" fillId="17" borderId="22" xfId="0" applyNumberFormat="1" applyFill="1" applyBorder="1" applyAlignment="1">
      <alignment horizontal="center" vertical="center"/>
    </xf>
    <xf numFmtId="9" fontId="0" fillId="17" borderId="91" xfId="0" applyNumberFormat="1" applyFill="1" applyBorder="1" applyAlignment="1">
      <alignment horizontal="center" vertical="center"/>
    </xf>
    <xf numFmtId="166" fontId="0" fillId="17" borderId="45" xfId="0" applyNumberFormat="1" applyFill="1" applyBorder="1" applyAlignment="1">
      <alignment horizontal="center" vertical="center"/>
    </xf>
    <xf numFmtId="166" fontId="0" fillId="17" borderId="90" xfId="0" applyNumberFormat="1" applyFill="1" applyBorder="1" applyAlignment="1">
      <alignment horizontal="center" vertical="center"/>
    </xf>
    <xf numFmtId="166" fontId="0" fillId="17" borderId="22" xfId="0" applyNumberFormat="1" applyFill="1" applyBorder="1" applyAlignment="1">
      <alignment horizontal="center" vertical="center"/>
    </xf>
    <xf numFmtId="166" fontId="0" fillId="17" borderId="6" xfId="0" applyNumberFormat="1" applyFill="1" applyBorder="1" applyAlignment="1">
      <alignment horizontal="center" vertical="center"/>
    </xf>
    <xf numFmtId="0" fontId="13" fillId="7" borderId="7" xfId="0" applyFont="1" applyFill="1" applyBorder="1" applyAlignment="1">
      <alignment horizontal="center" vertical="center" wrapText="1"/>
    </xf>
    <xf numFmtId="0" fontId="13" fillId="7" borderId="88" xfId="0" applyFont="1" applyFill="1" applyBorder="1" applyAlignment="1">
      <alignment horizontal="center" vertical="center" wrapText="1"/>
    </xf>
    <xf numFmtId="0" fontId="13" fillId="7" borderId="89" xfId="0" applyFont="1" applyFill="1" applyBorder="1" applyAlignment="1">
      <alignment horizontal="center" vertical="center" wrapText="1"/>
    </xf>
    <xf numFmtId="0" fontId="13" fillId="7" borderId="52" xfId="0" applyFont="1" applyFill="1" applyBorder="1" applyAlignment="1">
      <alignment horizontal="center" vertical="center" wrapText="1"/>
    </xf>
    <xf numFmtId="0" fontId="13" fillId="7" borderId="4" xfId="0" applyFont="1" applyFill="1" applyBorder="1" applyAlignment="1">
      <alignment horizontal="center" vertical="center" wrapText="1"/>
    </xf>
    <xf numFmtId="0" fontId="13" fillId="7" borderId="91" xfId="0" applyFont="1" applyFill="1" applyBorder="1" applyAlignment="1">
      <alignment horizontal="center" vertical="center" wrapText="1"/>
    </xf>
    <xf numFmtId="0" fontId="3" fillId="7" borderId="56" xfId="0" applyFont="1" applyFill="1" applyBorder="1" applyAlignment="1">
      <alignment horizontal="center" vertical="center" wrapText="1"/>
    </xf>
    <xf numFmtId="0" fontId="3" fillId="7" borderId="57" xfId="0" applyFont="1" applyFill="1" applyBorder="1" applyAlignment="1">
      <alignment horizontal="center" vertical="center" wrapText="1"/>
    </xf>
    <xf numFmtId="0" fontId="3" fillId="7" borderId="79" xfId="0" applyFont="1" applyFill="1" applyBorder="1" applyAlignment="1">
      <alignment horizontal="center" vertical="center" wrapText="1"/>
    </xf>
    <xf numFmtId="0" fontId="13" fillId="22" borderId="75" xfId="0" applyFont="1" applyFill="1" applyBorder="1" applyAlignment="1">
      <alignment horizontal="center" vertical="center"/>
    </xf>
    <xf numFmtId="0" fontId="13" fillId="22" borderId="76" xfId="0" applyFont="1" applyFill="1" applyBorder="1" applyAlignment="1">
      <alignment horizontal="center" vertical="center"/>
    </xf>
    <xf numFmtId="0" fontId="13" fillId="22" borderId="80" xfId="0" applyFont="1" applyFill="1" applyBorder="1" applyAlignment="1">
      <alignment horizontal="center" vertical="center"/>
    </xf>
    <xf numFmtId="0" fontId="3" fillId="22" borderId="56" xfId="0" applyFont="1" applyFill="1" applyBorder="1" applyAlignment="1">
      <alignment horizontal="center" vertical="center"/>
    </xf>
    <xf numFmtId="0" fontId="3" fillId="22" borderId="57" xfId="0" applyFont="1" applyFill="1" applyBorder="1" applyAlignment="1">
      <alignment horizontal="center" vertical="center"/>
    </xf>
    <xf numFmtId="0" fontId="0" fillId="22" borderId="29" xfId="0" applyFill="1" applyBorder="1" applyAlignment="1" applyProtection="1">
      <alignment horizontal="center" vertical="center"/>
      <protection locked="0"/>
    </xf>
    <xf numFmtId="0" fontId="0" fillId="22" borderId="30" xfId="0" applyFill="1" applyBorder="1" applyAlignment="1" applyProtection="1">
      <alignment horizontal="center" vertical="center"/>
      <protection locked="0"/>
    </xf>
    <xf numFmtId="1" fontId="3" fillId="14" borderId="19" xfId="0" applyNumberFormat="1" applyFont="1" applyFill="1" applyBorder="1" applyAlignment="1">
      <alignment horizontal="center" vertical="center"/>
    </xf>
    <xf numFmtId="1" fontId="3" fillId="14" borderId="13" xfId="0" applyNumberFormat="1" applyFont="1" applyFill="1" applyBorder="1" applyAlignment="1">
      <alignment horizontal="center" vertical="center"/>
    </xf>
    <xf numFmtId="0" fontId="0" fillId="22" borderId="62" xfId="0" applyFill="1" applyBorder="1" applyAlignment="1" applyProtection="1">
      <alignment horizontal="center" vertical="center"/>
      <protection locked="0"/>
    </xf>
    <xf numFmtId="0" fontId="0" fillId="22" borderId="63" xfId="0" applyFill="1" applyBorder="1" applyAlignment="1" applyProtection="1">
      <alignment horizontal="center" vertical="center"/>
      <protection locked="0"/>
    </xf>
    <xf numFmtId="173" fontId="0" fillId="7" borderId="29" xfId="0" applyNumberFormat="1" applyFill="1" applyBorder="1" applyAlignment="1">
      <alignment horizontal="center" vertical="center"/>
    </xf>
    <xf numFmtId="173" fontId="0" fillId="7" borderId="30" xfId="0" applyNumberFormat="1" applyFill="1" applyBorder="1" applyAlignment="1">
      <alignment horizontal="center" vertical="center"/>
    </xf>
    <xf numFmtId="171" fontId="0" fillId="7" borderId="29" xfId="0" applyNumberFormat="1" applyFill="1" applyBorder="1" applyAlignment="1" applyProtection="1">
      <alignment horizontal="center" vertical="center"/>
      <protection locked="0"/>
    </xf>
    <xf numFmtId="171" fontId="0" fillId="7" borderId="70" xfId="0" applyNumberFormat="1" applyFill="1" applyBorder="1" applyAlignment="1" applyProtection="1">
      <alignment horizontal="center" vertical="center"/>
      <protection locked="0"/>
    </xf>
    <xf numFmtId="1" fontId="3" fillId="14" borderId="47" xfId="0" applyNumberFormat="1" applyFont="1" applyFill="1" applyBorder="1" applyAlignment="1">
      <alignment horizontal="center" vertical="center" wrapText="1"/>
    </xf>
    <xf numFmtId="1" fontId="3" fillId="14" borderId="48" xfId="0" applyNumberFormat="1" applyFont="1" applyFill="1" applyBorder="1" applyAlignment="1">
      <alignment horizontal="center" vertical="center" wrapText="1"/>
    </xf>
    <xf numFmtId="1" fontId="3" fillId="14" borderId="42" xfId="0" applyNumberFormat="1" applyFont="1" applyFill="1" applyBorder="1" applyAlignment="1">
      <alignment horizontal="center" vertical="center" wrapText="1"/>
    </xf>
    <xf numFmtId="1" fontId="3" fillId="14" borderId="44" xfId="0" applyNumberFormat="1" applyFont="1" applyFill="1" applyBorder="1" applyAlignment="1">
      <alignment horizontal="center" vertical="center" wrapText="1"/>
    </xf>
    <xf numFmtId="175" fontId="0" fillId="7" borderId="29" xfId="0" applyNumberFormat="1" applyFill="1" applyBorder="1" applyAlignment="1">
      <alignment horizontal="center" vertical="center"/>
    </xf>
    <xf numFmtId="175" fontId="0" fillId="7" borderId="30" xfId="0" applyNumberFormat="1" applyFill="1" applyBorder="1" applyAlignment="1">
      <alignment horizontal="center" vertical="center"/>
    </xf>
    <xf numFmtId="175" fontId="0" fillId="7" borderId="29" xfId="0" applyNumberFormat="1" applyFill="1" applyBorder="1" applyAlignment="1" applyProtection="1">
      <alignment horizontal="center" vertical="center"/>
      <protection locked="0"/>
    </xf>
    <xf numFmtId="175" fontId="0" fillId="7" borderId="70" xfId="0" applyNumberFormat="1" applyFill="1" applyBorder="1" applyAlignment="1" applyProtection="1">
      <alignment horizontal="center" vertical="center"/>
      <protection locked="0"/>
    </xf>
    <xf numFmtId="182" fontId="12" fillId="7" borderId="29" xfId="1" applyNumberFormat="1" applyFont="1" applyFill="1" applyBorder="1" applyAlignment="1">
      <alignment horizontal="center" vertical="center"/>
    </xf>
    <xf numFmtId="182" fontId="12" fillId="7" borderId="30" xfId="1" applyNumberFormat="1" applyFont="1" applyFill="1" applyBorder="1" applyAlignment="1">
      <alignment horizontal="center" vertical="center"/>
    </xf>
    <xf numFmtId="0" fontId="3" fillId="22" borderId="53" xfId="0" applyFont="1" applyFill="1" applyBorder="1" applyAlignment="1">
      <alignment horizontal="center" vertical="center"/>
    </xf>
    <xf numFmtId="9" fontId="0" fillId="22" borderId="104" xfId="0" applyNumberFormat="1" applyFill="1" applyBorder="1" applyAlignment="1" applyProtection="1">
      <alignment horizontal="center" vertical="center"/>
      <protection locked="0"/>
    </xf>
    <xf numFmtId="9" fontId="0" fillId="22" borderId="103" xfId="0" applyNumberFormat="1" applyFill="1" applyBorder="1" applyAlignment="1" applyProtection="1">
      <alignment horizontal="center" vertical="center"/>
      <protection locked="0"/>
    </xf>
    <xf numFmtId="9" fontId="0" fillId="22" borderId="105" xfId="0" applyNumberFormat="1" applyFill="1" applyBorder="1" applyAlignment="1" applyProtection="1">
      <alignment horizontal="center" vertical="center"/>
      <protection locked="0"/>
    </xf>
    <xf numFmtId="9" fontId="3" fillId="14" borderId="46" xfId="1" applyFont="1" applyFill="1" applyBorder="1" applyAlignment="1">
      <alignment horizontal="center" vertical="center"/>
    </xf>
    <xf numFmtId="9" fontId="3" fillId="14" borderId="41" xfId="1" applyFont="1" applyFill="1" applyBorder="1" applyAlignment="1">
      <alignment horizontal="center" vertical="center"/>
    </xf>
    <xf numFmtId="0" fontId="13" fillId="11" borderId="88" xfId="0" applyFont="1" applyFill="1" applyBorder="1" applyAlignment="1">
      <alignment horizontal="center" vertical="center"/>
    </xf>
    <xf numFmtId="0" fontId="13" fillId="11" borderId="52" xfId="0" applyFont="1" applyFill="1" applyBorder="1" applyAlignment="1">
      <alignment horizontal="center" vertical="center"/>
    </xf>
    <xf numFmtId="0" fontId="13" fillId="11" borderId="91" xfId="0" applyFont="1" applyFill="1" applyBorder="1" applyAlignment="1">
      <alignment horizontal="center" vertical="center"/>
    </xf>
    <xf numFmtId="173" fontId="0" fillId="7" borderId="62" xfId="0" applyNumberFormat="1" applyFill="1" applyBorder="1" applyAlignment="1">
      <alignment horizontal="center" vertical="center"/>
    </xf>
    <xf numFmtId="173" fontId="0" fillId="7" borderId="63" xfId="0" applyNumberFormat="1" applyFill="1" applyBorder="1" applyAlignment="1">
      <alignment horizontal="center" vertical="center"/>
    </xf>
    <xf numFmtId="171" fontId="0" fillId="7" borderId="62" xfId="0" applyNumberFormat="1" applyFill="1" applyBorder="1" applyAlignment="1" applyProtection="1">
      <alignment horizontal="center" vertical="center"/>
      <protection locked="0"/>
    </xf>
    <xf numFmtId="171" fontId="0" fillId="7" borderId="74" xfId="0" applyNumberFormat="1" applyFill="1" applyBorder="1" applyAlignment="1" applyProtection="1">
      <alignment horizontal="center" vertical="center"/>
      <protection locked="0"/>
    </xf>
    <xf numFmtId="0" fontId="13" fillId="18" borderId="7" xfId="0" applyFont="1" applyFill="1" applyBorder="1" applyAlignment="1">
      <alignment horizontal="center" vertical="center"/>
    </xf>
    <xf numFmtId="0" fontId="13" fillId="18" borderId="88" xfId="0" applyFont="1" applyFill="1" applyBorder="1" applyAlignment="1">
      <alignment horizontal="center" vertical="center"/>
    </xf>
    <xf numFmtId="0" fontId="13" fillId="18" borderId="89" xfId="0" applyFont="1" applyFill="1" applyBorder="1" applyAlignment="1">
      <alignment horizontal="center" vertical="center"/>
    </xf>
    <xf numFmtId="0" fontId="13" fillId="18" borderId="52" xfId="0" applyFont="1" applyFill="1" applyBorder="1" applyAlignment="1">
      <alignment horizontal="center" vertical="center"/>
    </xf>
    <xf numFmtId="0" fontId="13" fillId="18" borderId="4" xfId="0" applyFont="1" applyFill="1" applyBorder="1" applyAlignment="1">
      <alignment horizontal="center" vertical="center"/>
    </xf>
    <xf numFmtId="0" fontId="13" fillId="18" borderId="91" xfId="0" applyFont="1" applyFill="1" applyBorder="1" applyAlignment="1">
      <alignment horizontal="center" vertical="center"/>
    </xf>
    <xf numFmtId="0" fontId="3" fillId="18" borderId="56" xfId="0" applyFont="1" applyFill="1" applyBorder="1" applyAlignment="1">
      <alignment horizontal="center" vertical="center"/>
    </xf>
    <xf numFmtId="0" fontId="3" fillId="18" borderId="57" xfId="0" applyFont="1" applyFill="1" applyBorder="1" applyAlignment="1">
      <alignment horizontal="center" vertical="center"/>
    </xf>
    <xf numFmtId="165" fontId="0" fillId="18" borderId="29" xfId="0" applyNumberFormat="1" applyFill="1" applyBorder="1" applyAlignment="1">
      <alignment horizontal="center" vertical="center"/>
    </xf>
    <xf numFmtId="165" fontId="0" fillId="18" borderId="30" xfId="0" applyNumberFormat="1" applyFill="1" applyBorder="1" applyAlignment="1">
      <alignment horizontal="center" vertical="center"/>
    </xf>
    <xf numFmtId="165" fontId="0" fillId="18" borderId="29" xfId="0" applyNumberFormat="1" applyFill="1" applyBorder="1" applyAlignment="1" applyProtection="1">
      <alignment horizontal="center" vertical="center"/>
      <protection locked="0"/>
    </xf>
    <xf numFmtId="165" fontId="0" fillId="18" borderId="70" xfId="0" applyNumberFormat="1" applyFill="1" applyBorder="1" applyAlignment="1" applyProtection="1">
      <alignment horizontal="center" vertical="center"/>
      <protection locked="0"/>
    </xf>
    <xf numFmtId="175" fontId="0" fillId="18" borderId="29" xfId="0" applyNumberFormat="1" applyFill="1" applyBorder="1" applyAlignment="1">
      <alignment horizontal="center" vertical="center"/>
    </xf>
    <xf numFmtId="175" fontId="0" fillId="18" borderId="30" xfId="0" applyNumberFormat="1" applyFill="1" applyBorder="1" applyAlignment="1">
      <alignment horizontal="center" vertical="center"/>
    </xf>
    <xf numFmtId="175" fontId="0" fillId="18" borderId="29" xfId="0" applyNumberFormat="1" applyFill="1" applyBorder="1" applyAlignment="1" applyProtection="1">
      <alignment horizontal="center" vertical="center"/>
      <protection locked="0"/>
    </xf>
    <xf numFmtId="175" fontId="0" fillId="18" borderId="70" xfId="0" applyNumberFormat="1" applyFill="1" applyBorder="1" applyAlignment="1" applyProtection="1">
      <alignment horizontal="center" vertical="center"/>
      <protection locked="0"/>
    </xf>
    <xf numFmtId="0" fontId="3" fillId="18" borderId="34" xfId="0" applyFont="1" applyFill="1" applyBorder="1" applyAlignment="1">
      <alignment horizontal="center" vertical="center" wrapText="1"/>
    </xf>
    <xf numFmtId="0" fontId="3" fillId="18" borderId="86" xfId="0" applyFont="1" applyFill="1" applyBorder="1" applyAlignment="1">
      <alignment horizontal="center" vertical="center" wrapText="1"/>
    </xf>
    <xf numFmtId="9" fontId="0" fillId="18" borderId="45" xfId="0" applyNumberFormat="1" applyFill="1" applyBorder="1" applyAlignment="1">
      <alignment horizontal="center" vertical="center"/>
    </xf>
    <xf numFmtId="9" fontId="0" fillId="18" borderId="51" xfId="0" applyNumberFormat="1" applyFill="1" applyBorder="1" applyAlignment="1">
      <alignment horizontal="center" vertical="center"/>
    </xf>
    <xf numFmtId="9" fontId="0" fillId="18" borderId="22" xfId="0" applyNumberFormat="1" applyFill="1" applyBorder="1" applyAlignment="1">
      <alignment horizontal="center" vertical="center"/>
    </xf>
    <xf numFmtId="9" fontId="0" fillId="18" borderId="91" xfId="0" applyNumberFormat="1" applyFill="1" applyBorder="1" applyAlignment="1">
      <alignment horizontal="center" vertical="center"/>
    </xf>
    <xf numFmtId="9" fontId="0" fillId="18" borderId="90" xfId="0" applyNumberFormat="1" applyFill="1" applyBorder="1" applyAlignment="1">
      <alignment horizontal="center" vertical="center"/>
    </xf>
    <xf numFmtId="9" fontId="0" fillId="18" borderId="6" xfId="0" applyNumberFormat="1" applyFill="1" applyBorder="1" applyAlignment="1">
      <alignment horizontal="center" vertical="center"/>
    </xf>
    <xf numFmtId="10" fontId="0" fillId="20" borderId="29" xfId="0" applyNumberFormat="1" applyFill="1" applyBorder="1" applyAlignment="1">
      <alignment horizontal="center" vertical="center" wrapText="1"/>
    </xf>
    <xf numFmtId="10" fontId="0" fillId="20" borderId="30" xfId="0" applyNumberFormat="1" applyFill="1" applyBorder="1" applyAlignment="1">
      <alignment horizontal="center" vertical="center" wrapText="1"/>
    </xf>
    <xf numFmtId="0" fontId="13" fillId="19" borderId="7" xfId="0" applyFont="1" applyFill="1" applyBorder="1" applyAlignment="1">
      <alignment horizontal="center" vertical="center"/>
    </xf>
    <xf numFmtId="0" fontId="13" fillId="19" borderId="88" xfId="0" applyFont="1" applyFill="1" applyBorder="1" applyAlignment="1">
      <alignment horizontal="center" vertical="center"/>
    </xf>
    <xf numFmtId="0" fontId="13" fillId="19" borderId="89" xfId="0" applyFont="1" applyFill="1" applyBorder="1" applyAlignment="1">
      <alignment horizontal="center" vertical="center"/>
    </xf>
    <xf numFmtId="0" fontId="13" fillId="19" borderId="52" xfId="0" applyFont="1" applyFill="1" applyBorder="1" applyAlignment="1">
      <alignment horizontal="center" vertical="center"/>
    </xf>
    <xf numFmtId="0" fontId="13" fillId="19" borderId="4" xfId="0" applyFont="1" applyFill="1" applyBorder="1" applyAlignment="1">
      <alignment horizontal="center" vertical="center"/>
    </xf>
    <xf numFmtId="0" fontId="13" fillId="19" borderId="91" xfId="0" applyFont="1" applyFill="1" applyBorder="1" applyAlignment="1">
      <alignment horizontal="center" vertical="center"/>
    </xf>
    <xf numFmtId="0" fontId="3" fillId="19" borderId="84" xfId="0" applyFont="1" applyFill="1" applyBorder="1" applyAlignment="1">
      <alignment horizontal="center" vertical="center"/>
    </xf>
    <xf numFmtId="0" fontId="3" fillId="19" borderId="31" xfId="0" applyFont="1" applyFill="1" applyBorder="1" applyAlignment="1">
      <alignment horizontal="center" vertical="center"/>
    </xf>
    <xf numFmtId="0" fontId="3" fillId="19" borderId="32" xfId="0" applyFont="1" applyFill="1" applyBorder="1" applyAlignment="1">
      <alignment horizontal="center" vertical="center"/>
    </xf>
    <xf numFmtId="0" fontId="3" fillId="19" borderId="29" xfId="0" applyFont="1" applyFill="1" applyBorder="1" applyAlignment="1">
      <alignment horizontal="center" vertical="center"/>
    </xf>
    <xf numFmtId="0" fontId="3" fillId="19" borderId="33" xfId="0" applyFont="1" applyFill="1" applyBorder="1" applyAlignment="1">
      <alignment horizontal="center" vertical="center"/>
    </xf>
    <xf numFmtId="0" fontId="3" fillId="19" borderId="70" xfId="0" applyFont="1" applyFill="1" applyBorder="1" applyAlignment="1">
      <alignment horizontal="center" vertical="center"/>
    </xf>
    <xf numFmtId="0" fontId="3" fillId="19" borderId="34" xfId="0" applyFont="1" applyFill="1" applyBorder="1" applyAlignment="1">
      <alignment horizontal="center" vertical="center"/>
    </xf>
    <xf numFmtId="0" fontId="3" fillId="19" borderId="86" xfId="0" applyFont="1" applyFill="1" applyBorder="1" applyAlignment="1">
      <alignment horizontal="center" vertical="center"/>
    </xf>
    <xf numFmtId="166" fontId="6" fillId="5" borderId="46" xfId="0" applyNumberFormat="1" applyFont="1" applyFill="1" applyBorder="1" applyAlignment="1">
      <alignment horizontal="center" vertical="center"/>
    </xf>
    <xf numFmtId="166" fontId="6" fillId="5" borderId="38" xfId="0" applyNumberFormat="1" applyFont="1" applyFill="1" applyBorder="1" applyAlignment="1">
      <alignment horizontal="center" vertical="center"/>
    </xf>
    <xf numFmtId="166" fontId="6" fillId="5" borderId="41" xfId="0" applyNumberFormat="1" applyFont="1" applyFill="1" applyBorder="1" applyAlignment="1">
      <alignment horizontal="center" vertical="center"/>
    </xf>
    <xf numFmtId="166" fontId="3" fillId="5" borderId="19" xfId="0" applyNumberFormat="1" applyFont="1" applyFill="1" applyBorder="1" applyAlignment="1">
      <alignment horizontal="center" vertical="center"/>
    </xf>
    <xf numFmtId="166" fontId="3" fillId="5" borderId="37" xfId="0" applyNumberFormat="1" applyFont="1" applyFill="1" applyBorder="1" applyAlignment="1">
      <alignment horizontal="center" vertical="center"/>
    </xf>
    <xf numFmtId="166" fontId="0" fillId="5" borderId="19" xfId="0" applyNumberFormat="1" applyFill="1" applyBorder="1" applyAlignment="1">
      <alignment horizontal="center" vertical="center"/>
    </xf>
    <xf numFmtId="166" fontId="0" fillId="5" borderId="13" xfId="0" applyNumberFormat="1" applyFill="1" applyBorder="1" applyAlignment="1">
      <alignment horizontal="center" vertical="center"/>
    </xf>
    <xf numFmtId="0" fontId="0" fillId="22" borderId="33" xfId="0" applyFill="1" applyBorder="1" applyAlignment="1" applyProtection="1">
      <alignment horizontal="center" vertical="center"/>
      <protection locked="0"/>
    </xf>
    <xf numFmtId="0" fontId="0" fillId="22" borderId="72" xfId="0" applyFill="1" applyBorder="1" applyAlignment="1" applyProtection="1">
      <alignment horizontal="center" vertical="center"/>
      <protection locked="0"/>
    </xf>
    <xf numFmtId="177" fontId="0" fillId="20" borderId="62" xfId="0" applyNumberFormat="1" applyFill="1" applyBorder="1" applyAlignment="1">
      <alignment horizontal="center" vertical="center"/>
    </xf>
    <xf numFmtId="177" fontId="0" fillId="20" borderId="63" xfId="0" applyNumberFormat="1" applyFill="1" applyBorder="1" applyAlignment="1">
      <alignment horizontal="center" vertical="center"/>
    </xf>
    <xf numFmtId="210" fontId="0" fillId="20" borderId="62" xfId="0" applyNumberFormat="1" applyFill="1" applyBorder="1" applyAlignment="1">
      <alignment horizontal="center" vertical="center"/>
    </xf>
    <xf numFmtId="210" fontId="0" fillId="20" borderId="63" xfId="0" applyNumberFormat="1" applyFill="1" applyBorder="1" applyAlignment="1">
      <alignment horizontal="center" vertical="center"/>
    </xf>
    <xf numFmtId="174" fontId="3" fillId="20" borderId="53" xfId="0" applyNumberFormat="1" applyFont="1" applyFill="1" applyBorder="1" applyAlignment="1">
      <alignment horizontal="center" vertical="center"/>
    </xf>
    <xf numFmtId="174" fontId="3" fillId="20" borderId="57" xfId="0" applyNumberFormat="1" applyFont="1" applyFill="1" applyBorder="1" applyAlignment="1">
      <alignment horizontal="center" vertical="center"/>
    </xf>
    <xf numFmtId="0" fontId="0" fillId="13" borderId="29" xfId="0" applyFill="1" applyBorder="1" applyAlignment="1" applyProtection="1">
      <alignment horizontal="center" vertical="center" wrapText="1"/>
      <protection locked="0"/>
    </xf>
    <xf numFmtId="0" fontId="0" fillId="13" borderId="33" xfId="0" applyFill="1" applyBorder="1" applyAlignment="1" applyProtection="1">
      <alignment horizontal="center" vertical="center" wrapText="1"/>
      <protection locked="0"/>
    </xf>
    <xf numFmtId="0" fontId="0" fillId="13" borderId="30" xfId="0" applyFill="1" applyBorder="1" applyAlignment="1" applyProtection="1">
      <alignment horizontal="center" vertical="center" wrapText="1"/>
      <protection locked="0"/>
    </xf>
    <xf numFmtId="0" fontId="0" fillId="13" borderId="29" xfId="0" applyFill="1" applyBorder="1" applyAlignment="1" applyProtection="1">
      <alignment horizontal="left" vertical="center" wrapText="1"/>
      <protection locked="0"/>
    </xf>
    <xf numFmtId="0" fontId="0" fillId="13" borderId="33" xfId="0" applyFill="1" applyBorder="1" applyAlignment="1" applyProtection="1">
      <alignment horizontal="left" vertical="center" wrapText="1"/>
      <protection locked="0"/>
    </xf>
    <xf numFmtId="0" fontId="0" fillId="13" borderId="30" xfId="0" applyFill="1" applyBorder="1" applyAlignment="1" applyProtection="1">
      <alignment horizontal="left" vertical="center" wrapText="1"/>
      <protection locked="0"/>
    </xf>
    <xf numFmtId="10" fontId="0" fillId="20" borderId="70" xfId="0" applyNumberFormat="1" applyFill="1" applyBorder="1" applyAlignment="1">
      <alignment horizontal="center" vertical="center" wrapText="1"/>
    </xf>
    <xf numFmtId="222" fontId="0" fillId="20" borderId="29" xfId="0" applyNumberFormat="1" applyFill="1" applyBorder="1" applyAlignment="1">
      <alignment horizontal="center" vertical="center"/>
    </xf>
    <xf numFmtId="222" fontId="0" fillId="20" borderId="30" xfId="0" applyNumberFormat="1" applyFill="1" applyBorder="1" applyAlignment="1">
      <alignment horizontal="center" vertical="center"/>
    </xf>
    <xf numFmtId="176" fontId="0" fillId="20" borderId="29" xfId="0" applyNumberFormat="1" applyFill="1" applyBorder="1" applyAlignment="1">
      <alignment horizontal="center" vertical="center"/>
    </xf>
    <xf numFmtId="176" fontId="0" fillId="20" borderId="30" xfId="0" applyNumberFormat="1" applyFill="1" applyBorder="1" applyAlignment="1">
      <alignment horizontal="center" vertical="center"/>
    </xf>
    <xf numFmtId="176" fontId="0" fillId="20" borderId="70" xfId="0" applyNumberFormat="1" applyFill="1" applyBorder="1" applyAlignment="1">
      <alignment horizontal="center" vertical="center"/>
    </xf>
    <xf numFmtId="0" fontId="3" fillId="20" borderId="29" xfId="0" applyFont="1" applyFill="1" applyBorder="1" applyAlignment="1">
      <alignment horizontal="center" vertical="center"/>
    </xf>
    <xf numFmtId="0" fontId="3" fillId="20" borderId="30" xfId="0" applyFont="1" applyFill="1" applyBorder="1" applyAlignment="1">
      <alignment horizontal="center" vertical="center"/>
    </xf>
    <xf numFmtId="0" fontId="13" fillId="20" borderId="7" xfId="0" applyFont="1" applyFill="1" applyBorder="1" applyAlignment="1">
      <alignment horizontal="center" vertical="center"/>
    </xf>
    <xf numFmtId="0" fontId="13" fillId="20" borderId="8" xfId="0" applyFont="1" applyFill="1" applyBorder="1" applyAlignment="1">
      <alignment horizontal="center" vertical="center"/>
    </xf>
    <xf numFmtId="0" fontId="13" fillId="20" borderId="89" xfId="0" applyFont="1" applyFill="1" applyBorder="1" applyAlignment="1">
      <alignment horizontal="center" vertical="center"/>
    </xf>
    <xf numFmtId="0" fontId="13" fillId="20" borderId="0" xfId="0" applyFont="1" applyFill="1" applyAlignment="1">
      <alignment horizontal="center" vertical="center"/>
    </xf>
    <xf numFmtId="0" fontId="13" fillId="20" borderId="4" xfId="0" applyFont="1" applyFill="1" applyBorder="1" applyAlignment="1">
      <alignment horizontal="center" vertical="center"/>
    </xf>
    <xf numFmtId="0" fontId="13" fillId="20" borderId="5" xfId="0" applyFont="1" applyFill="1" applyBorder="1" applyAlignment="1">
      <alignment horizontal="center" vertical="center"/>
    </xf>
    <xf numFmtId="0" fontId="3" fillId="20" borderId="56" xfId="0" applyFont="1" applyFill="1" applyBorder="1" applyAlignment="1">
      <alignment horizontal="center" vertical="center" wrapText="1"/>
    </xf>
    <xf numFmtId="0" fontId="3" fillId="20" borderId="57" xfId="0" applyFont="1" applyFill="1" applyBorder="1" applyAlignment="1">
      <alignment horizontal="center" vertical="center" wrapText="1"/>
    </xf>
    <xf numFmtId="0" fontId="3" fillId="20" borderId="79" xfId="0" applyFont="1" applyFill="1" applyBorder="1" applyAlignment="1">
      <alignment horizontal="center" vertical="center" wrapText="1"/>
    </xf>
    <xf numFmtId="175" fontId="0" fillId="20" borderId="29" xfId="0" applyNumberFormat="1" applyFill="1" applyBorder="1" applyAlignment="1">
      <alignment horizontal="center" vertical="center"/>
    </xf>
    <xf numFmtId="175" fontId="0" fillId="20" borderId="30" xfId="0" applyNumberFormat="1" applyFill="1" applyBorder="1" applyAlignment="1">
      <alignment horizontal="center" vertical="center"/>
    </xf>
    <xf numFmtId="175" fontId="0" fillId="20" borderId="29" xfId="0" applyNumberFormat="1" applyFill="1" applyBorder="1" applyAlignment="1" applyProtection="1">
      <alignment horizontal="center" vertical="center"/>
      <protection locked="0"/>
    </xf>
    <xf numFmtId="175" fontId="0" fillId="20" borderId="70" xfId="0" applyNumberFormat="1" applyFill="1" applyBorder="1" applyAlignment="1" applyProtection="1">
      <alignment horizontal="center" vertical="center"/>
      <protection locked="0"/>
    </xf>
    <xf numFmtId="165" fontId="0" fillId="20" borderId="29" xfId="0" applyNumberFormat="1" applyFill="1" applyBorder="1" applyAlignment="1">
      <alignment horizontal="center" vertical="center"/>
    </xf>
    <xf numFmtId="165" fontId="0" fillId="20" borderId="30" xfId="0" applyNumberFormat="1" applyFill="1" applyBorder="1" applyAlignment="1">
      <alignment horizontal="center" vertical="center"/>
    </xf>
    <xf numFmtId="165" fontId="0" fillId="20" borderId="29" xfId="0" applyNumberFormat="1" applyFill="1" applyBorder="1" applyAlignment="1" applyProtection="1">
      <alignment horizontal="center" vertical="center"/>
      <protection locked="0"/>
    </xf>
    <xf numFmtId="165" fontId="0" fillId="20" borderId="70" xfId="0" applyNumberFormat="1" applyFill="1" applyBorder="1" applyAlignment="1" applyProtection="1">
      <alignment horizontal="center" vertical="center"/>
      <protection locked="0"/>
    </xf>
    <xf numFmtId="222" fontId="0" fillId="20" borderId="70" xfId="0" applyNumberFormat="1" applyFill="1" applyBorder="1" applyAlignment="1">
      <alignment horizontal="center" vertical="center"/>
    </xf>
    <xf numFmtId="0" fontId="27" fillId="23" borderId="8" xfId="0" applyFont="1" applyFill="1" applyBorder="1" applyAlignment="1" applyProtection="1">
      <alignment horizontal="center" vertical="center" wrapText="1"/>
      <protection locked="0"/>
    </xf>
    <xf numFmtId="0" fontId="27" fillId="23" borderId="8" xfId="0" applyFont="1" applyFill="1" applyBorder="1" applyAlignment="1" applyProtection="1">
      <alignment horizontal="center" vertical="center"/>
      <protection locked="0"/>
    </xf>
    <xf numFmtId="0" fontId="3" fillId="15" borderId="29" xfId="0" applyFont="1" applyFill="1" applyBorder="1" applyAlignment="1">
      <alignment horizontal="center" vertical="center"/>
    </xf>
    <xf numFmtId="0" fontId="3" fillId="15" borderId="33" xfId="0" applyFont="1" applyFill="1" applyBorder="1" applyAlignment="1">
      <alignment horizontal="center" vertical="center"/>
    </xf>
    <xf numFmtId="0" fontId="3" fillId="15" borderId="30" xfId="0" applyFont="1" applyFill="1" applyBorder="1" applyAlignment="1">
      <alignment horizontal="center" vertical="center"/>
    </xf>
    <xf numFmtId="1" fontId="0" fillId="16" borderId="85" xfId="0" applyNumberFormat="1" applyFill="1" applyBorder="1" applyAlignment="1" applyProtection="1">
      <alignment horizontal="center" vertical="center"/>
      <protection locked="0"/>
    </xf>
    <xf numFmtId="1" fontId="0" fillId="16" borderId="87" xfId="0" applyNumberFormat="1" applyFill="1" applyBorder="1" applyAlignment="1" applyProtection="1">
      <alignment horizontal="center" vertical="center"/>
      <protection locked="0"/>
    </xf>
    <xf numFmtId="0" fontId="7" fillId="23" borderId="8" xfId="0" applyFont="1" applyFill="1" applyBorder="1" applyAlignment="1" applyProtection="1">
      <alignment horizontal="center" vertical="center" wrapText="1"/>
      <protection locked="0"/>
    </xf>
    <xf numFmtId="0" fontId="7" fillId="23" borderId="8" xfId="0" applyFont="1" applyFill="1" applyBorder="1" applyAlignment="1" applyProtection="1">
      <alignment horizontal="center" vertical="center"/>
      <protection locked="0"/>
    </xf>
    <xf numFmtId="0" fontId="23" fillId="23" borderId="8" xfId="0" applyFont="1" applyFill="1" applyBorder="1" applyAlignment="1" applyProtection="1">
      <alignment horizontal="center" vertical="center" wrapText="1"/>
      <protection locked="0"/>
    </xf>
    <xf numFmtId="0" fontId="23" fillId="23" borderId="8" xfId="0" applyFont="1" applyFill="1" applyBorder="1" applyAlignment="1" applyProtection="1">
      <alignment horizontal="center" vertical="center"/>
      <protection locked="0"/>
    </xf>
    <xf numFmtId="0" fontId="0" fillId="0" borderId="8" xfId="0" applyBorder="1" applyAlignment="1">
      <alignment horizontal="left" wrapText="1"/>
    </xf>
    <xf numFmtId="0" fontId="0" fillId="0" borderId="0" xfId="0" applyAlignment="1">
      <alignment horizontal="left" wrapText="1"/>
    </xf>
    <xf numFmtId="0" fontId="0" fillId="0" borderId="0" xfId="0" applyAlignment="1">
      <alignment horizontal="center" wrapText="1"/>
    </xf>
    <xf numFmtId="0" fontId="25" fillId="23" borderId="2" xfId="0" applyFont="1" applyFill="1" applyBorder="1" applyAlignment="1" applyProtection="1">
      <alignment horizontal="center" vertical="center" wrapText="1"/>
      <protection locked="0"/>
    </xf>
    <xf numFmtId="0" fontId="34" fillId="23" borderId="2" xfId="0" applyFont="1" applyFill="1" applyBorder="1" applyAlignment="1" applyProtection="1">
      <alignment horizontal="center" vertical="center" wrapText="1"/>
      <protection locked="0"/>
    </xf>
    <xf numFmtId="164" fontId="0" fillId="3" borderId="123" xfId="0" applyNumberFormat="1" applyFill="1" applyBorder="1" applyAlignment="1">
      <alignment horizontal="center" vertical="center"/>
    </xf>
    <xf numFmtId="164" fontId="0" fillId="3" borderId="74" xfId="0" applyNumberFormat="1" applyFill="1" applyBorder="1" applyAlignment="1">
      <alignment horizontal="center" vertical="center"/>
    </xf>
    <xf numFmtId="0" fontId="13" fillId="13" borderId="75" xfId="0" applyFont="1" applyFill="1" applyBorder="1" applyAlignment="1">
      <alignment horizontal="center" vertical="center"/>
    </xf>
    <xf numFmtId="0" fontId="13" fillId="13" borderId="76" xfId="0" applyFont="1" applyFill="1" applyBorder="1" applyAlignment="1">
      <alignment horizontal="center" vertical="center"/>
    </xf>
    <xf numFmtId="0" fontId="3" fillId="13" borderId="85" xfId="0" applyFont="1" applyFill="1" applyBorder="1" applyAlignment="1">
      <alignment horizontal="center" vertical="center"/>
    </xf>
    <xf numFmtId="0" fontId="3" fillId="13" borderId="165" xfId="0" applyFont="1" applyFill="1" applyBorder="1" applyAlignment="1">
      <alignment horizontal="center" vertical="center"/>
    </xf>
    <xf numFmtId="165" fontId="0" fillId="3" borderId="35" xfId="0" applyNumberFormat="1" applyFill="1" applyBorder="1" applyAlignment="1">
      <alignment horizontal="center" vertical="center"/>
    </xf>
    <xf numFmtId="165" fontId="0" fillId="3" borderId="36" xfId="0" applyNumberFormat="1" applyFill="1" applyBorder="1" applyAlignment="1">
      <alignment horizontal="center" vertical="center"/>
    </xf>
    <xf numFmtId="2" fontId="0" fillId="3" borderId="122" xfId="0" applyNumberFormat="1" applyFill="1" applyBorder="1" applyAlignment="1">
      <alignment horizontal="center" vertical="center"/>
    </xf>
    <xf numFmtId="2" fontId="0" fillId="3" borderId="70" xfId="0" applyNumberFormat="1" applyFill="1" applyBorder="1" applyAlignment="1">
      <alignment horizontal="center" vertical="center"/>
    </xf>
    <xf numFmtId="0" fontId="0" fillId="3" borderId="35" xfId="0" applyFill="1" applyBorder="1" applyAlignment="1">
      <alignment horizontal="center" vertical="center"/>
    </xf>
    <xf numFmtId="0" fontId="0" fillId="3" borderId="36" xfId="0" applyFill="1" applyBorder="1" applyAlignment="1">
      <alignment horizontal="center" vertical="center"/>
    </xf>
    <xf numFmtId="2" fontId="0" fillId="3" borderId="122" xfId="0" applyNumberFormat="1" applyFill="1" applyBorder="1" applyAlignment="1" applyProtection="1">
      <alignment horizontal="center" vertical="center"/>
      <protection locked="0"/>
    </xf>
    <xf numFmtId="2" fontId="0" fillId="3" borderId="70" xfId="0" applyNumberFormat="1" applyFill="1" applyBorder="1" applyAlignment="1" applyProtection="1">
      <alignment horizontal="center" vertical="center"/>
      <protection locked="0"/>
    </xf>
    <xf numFmtId="214" fontId="0" fillId="3" borderId="152" xfId="0" applyNumberFormat="1" applyFill="1" applyBorder="1" applyAlignment="1">
      <alignment horizontal="center" vertical="center"/>
    </xf>
    <xf numFmtId="214" fontId="0" fillId="3" borderId="153" xfId="0" applyNumberFormat="1" applyFill="1" applyBorder="1" applyAlignment="1">
      <alignment horizontal="center" vertical="center"/>
    </xf>
    <xf numFmtId="217" fontId="0" fillId="3" borderId="154" xfId="0" applyNumberFormat="1" applyFill="1" applyBorder="1" applyAlignment="1">
      <alignment horizontal="center" vertical="center"/>
    </xf>
    <xf numFmtId="217" fontId="0" fillId="3" borderId="155" xfId="0" applyNumberFormat="1" applyFill="1" applyBorder="1" applyAlignment="1">
      <alignment horizontal="center" vertical="center"/>
    </xf>
    <xf numFmtId="0" fontId="3" fillId="17" borderId="53" xfId="0" applyFont="1" applyFill="1" applyBorder="1" applyAlignment="1">
      <alignment horizontal="center" vertical="center" wrapText="1"/>
    </xf>
    <xf numFmtId="165" fontId="3" fillId="17" borderId="29" xfId="0" applyNumberFormat="1" applyFont="1" applyFill="1" applyBorder="1" applyAlignment="1" applyProtection="1">
      <alignment horizontal="center" vertical="center"/>
      <protection locked="0"/>
    </xf>
    <xf numFmtId="165" fontId="3" fillId="17" borderId="33" xfId="0" applyNumberFormat="1" applyFont="1" applyFill="1" applyBorder="1" applyAlignment="1" applyProtection="1">
      <alignment horizontal="center" vertical="center"/>
      <protection locked="0"/>
    </xf>
    <xf numFmtId="165" fontId="3" fillId="17" borderId="70" xfId="0" applyNumberFormat="1" applyFont="1" applyFill="1" applyBorder="1" applyAlignment="1" applyProtection="1">
      <alignment horizontal="center" vertical="center"/>
      <protection locked="0"/>
    </xf>
    <xf numFmtId="197" fontId="3" fillId="17" borderId="29" xfId="0" applyNumberFormat="1" applyFont="1" applyFill="1" applyBorder="1" applyAlignment="1" applyProtection="1">
      <alignment horizontal="center" vertical="center"/>
      <protection locked="0"/>
    </xf>
    <xf numFmtId="197" fontId="3" fillId="17" borderId="33" xfId="0" applyNumberFormat="1" applyFont="1" applyFill="1" applyBorder="1" applyAlignment="1" applyProtection="1">
      <alignment horizontal="center" vertical="center"/>
      <protection locked="0"/>
    </xf>
    <xf numFmtId="197" fontId="3" fillId="17" borderId="70" xfId="0" applyNumberFormat="1" applyFont="1" applyFill="1" applyBorder="1" applyAlignment="1" applyProtection="1">
      <alignment horizontal="center" vertical="center"/>
      <protection locked="0"/>
    </xf>
    <xf numFmtId="0" fontId="13" fillId="13" borderId="75" xfId="0" applyFont="1" applyFill="1" applyBorder="1" applyAlignment="1">
      <alignment horizontal="center" vertical="center" wrapText="1"/>
    </xf>
    <xf numFmtId="0" fontId="13" fillId="13" borderId="76" xfId="0" applyFont="1" applyFill="1" applyBorder="1" applyAlignment="1">
      <alignment horizontal="center" vertical="center" wrapText="1"/>
    </xf>
    <xf numFmtId="0" fontId="13" fillId="13" borderId="80" xfId="0" applyFont="1" applyFill="1" applyBorder="1" applyAlignment="1">
      <alignment horizontal="center" vertical="center" wrapText="1"/>
    </xf>
    <xf numFmtId="0" fontId="3" fillId="13" borderId="56" xfId="0" applyFont="1" applyFill="1" applyBorder="1" applyAlignment="1" applyProtection="1">
      <alignment horizontal="left" vertical="center" wrapText="1"/>
      <protection locked="0"/>
    </xf>
    <xf numFmtId="0" fontId="3" fillId="13" borderId="53" xfId="0" applyFont="1" applyFill="1" applyBorder="1" applyAlignment="1" applyProtection="1">
      <alignment horizontal="left" vertical="center" wrapText="1"/>
      <protection locked="0"/>
    </xf>
    <xf numFmtId="0" fontId="13" fillId="4" borderId="88" xfId="0" applyFont="1" applyFill="1" applyBorder="1" applyAlignment="1">
      <alignment horizontal="center" vertical="center"/>
    </xf>
    <xf numFmtId="0" fontId="13" fillId="4" borderId="52" xfId="0" applyFont="1" applyFill="1" applyBorder="1" applyAlignment="1">
      <alignment horizontal="center" vertical="center"/>
    </xf>
    <xf numFmtId="164" fontId="0" fillId="16" borderId="85" xfId="0" applyNumberFormat="1" applyFill="1" applyBorder="1" applyAlignment="1" applyProtection="1">
      <alignment horizontal="center" vertical="center"/>
      <protection locked="0"/>
    </xf>
    <xf numFmtId="164" fontId="0" fillId="16" borderId="87" xfId="0" applyNumberFormat="1" applyFill="1" applyBorder="1" applyAlignment="1" applyProtection="1">
      <alignment horizontal="center" vertical="center"/>
      <protection locked="0"/>
    </xf>
    <xf numFmtId="0" fontId="12" fillId="17" borderId="34" xfId="0" applyFont="1" applyFill="1" applyBorder="1" applyAlignment="1">
      <alignment horizontal="center" vertical="center" wrapText="1"/>
    </xf>
    <xf numFmtId="0" fontId="12" fillId="17" borderId="86" xfId="0" applyFont="1" applyFill="1" applyBorder="1" applyAlignment="1">
      <alignment horizontal="center" vertical="center" wrapText="1"/>
    </xf>
    <xf numFmtId="166" fontId="59" fillId="17" borderId="45" xfId="0" applyNumberFormat="1" applyFont="1" applyFill="1" applyBorder="1" applyAlignment="1">
      <alignment horizontal="center" vertical="center" wrapText="1"/>
    </xf>
    <xf numFmtId="166" fontId="59" fillId="17" borderId="22" xfId="0" applyNumberFormat="1" applyFont="1" applyFill="1" applyBorder="1" applyAlignment="1">
      <alignment horizontal="center" vertical="center" wrapText="1"/>
    </xf>
    <xf numFmtId="166" fontId="12" fillId="17" borderId="45" xfId="0" applyNumberFormat="1" applyFont="1" applyFill="1" applyBorder="1" applyAlignment="1">
      <alignment horizontal="center" vertical="center"/>
    </xf>
    <xf numFmtId="166" fontId="12" fillId="17" borderId="102" xfId="0" applyNumberFormat="1" applyFont="1" applyFill="1" applyBorder="1" applyAlignment="1">
      <alignment horizontal="center" vertical="center"/>
    </xf>
    <xf numFmtId="166" fontId="12" fillId="17" borderId="90" xfId="0" applyNumberFormat="1" applyFont="1" applyFill="1" applyBorder="1" applyAlignment="1">
      <alignment horizontal="center" vertical="center"/>
    </xf>
    <xf numFmtId="166" fontId="12" fillId="17" borderId="22" xfId="0" applyNumberFormat="1" applyFont="1" applyFill="1" applyBorder="1" applyAlignment="1">
      <alignment horizontal="center" vertical="center"/>
    </xf>
    <xf numFmtId="166" fontId="12" fillId="17" borderId="5" xfId="0" applyNumberFormat="1" applyFont="1" applyFill="1" applyBorder="1" applyAlignment="1">
      <alignment horizontal="center" vertical="center"/>
    </xf>
    <xf numFmtId="166" fontId="12" fillId="17" borderId="6" xfId="0" applyNumberFormat="1" applyFont="1" applyFill="1" applyBorder="1" applyAlignment="1">
      <alignment horizontal="center" vertical="center"/>
    </xf>
    <xf numFmtId="0" fontId="13" fillId="4" borderId="112" xfId="0" applyFont="1" applyFill="1" applyBorder="1" applyAlignment="1">
      <alignment horizontal="center" vertical="center"/>
    </xf>
    <xf numFmtId="0" fontId="3" fillId="7" borderId="53" xfId="0" applyFont="1" applyFill="1" applyBorder="1" applyAlignment="1">
      <alignment horizontal="center" vertical="center" wrapText="1"/>
    </xf>
    <xf numFmtId="166" fontId="6" fillId="14" borderId="17" xfId="0" applyNumberFormat="1" applyFont="1" applyFill="1" applyBorder="1" applyAlignment="1">
      <alignment horizontal="center" vertical="center"/>
    </xf>
    <xf numFmtId="166" fontId="6" fillId="14" borderId="18" xfId="0" applyNumberFormat="1" applyFont="1" applyFill="1" applyBorder="1" applyAlignment="1">
      <alignment horizontal="center" vertical="center"/>
    </xf>
    <xf numFmtId="166" fontId="6" fillId="14" borderId="108" xfId="0" applyNumberFormat="1" applyFont="1" applyFill="1" applyBorder="1" applyAlignment="1">
      <alignment horizontal="center" vertical="center"/>
    </xf>
    <xf numFmtId="0" fontId="13" fillId="4" borderId="111" xfId="0" applyFont="1" applyFill="1" applyBorder="1" applyAlignment="1">
      <alignment horizontal="center" vertical="center"/>
    </xf>
    <xf numFmtId="0" fontId="3" fillId="18" borderId="53" xfId="0" applyFont="1" applyFill="1" applyBorder="1" applyAlignment="1">
      <alignment horizontal="center" vertical="center"/>
    </xf>
    <xf numFmtId="0" fontId="3" fillId="18" borderId="79" xfId="0" applyFont="1" applyFill="1" applyBorder="1" applyAlignment="1">
      <alignment horizontal="center" vertical="center"/>
    </xf>
    <xf numFmtId="165" fontId="3" fillId="7" borderId="29" xfId="0" applyNumberFormat="1" applyFont="1" applyFill="1" applyBorder="1" applyAlignment="1" applyProtection="1">
      <alignment horizontal="center" vertical="center"/>
      <protection locked="0"/>
    </xf>
    <xf numFmtId="165" fontId="3" fillId="7" borderId="33" xfId="0" applyNumberFormat="1" applyFont="1" applyFill="1" applyBorder="1" applyAlignment="1" applyProtection="1">
      <alignment horizontal="center" vertical="center"/>
      <protection locked="0"/>
    </xf>
    <xf numFmtId="165" fontId="3" fillId="7" borderId="70" xfId="0" applyNumberFormat="1" applyFont="1" applyFill="1" applyBorder="1" applyAlignment="1" applyProtection="1">
      <alignment horizontal="center" vertical="center"/>
      <protection locked="0"/>
    </xf>
    <xf numFmtId="1" fontId="3" fillId="14" borderId="94" xfId="0" applyNumberFormat="1" applyFont="1" applyFill="1" applyBorder="1" applyAlignment="1">
      <alignment horizontal="center" vertical="center"/>
    </xf>
    <xf numFmtId="175" fontId="0" fillId="7" borderId="33" xfId="0" applyNumberFormat="1" applyFill="1" applyBorder="1" applyAlignment="1" applyProtection="1">
      <alignment horizontal="center" vertical="center"/>
      <protection locked="0"/>
    </xf>
    <xf numFmtId="182" fontId="12" fillId="7" borderId="33" xfId="1" applyNumberFormat="1" applyFont="1" applyFill="1" applyBorder="1" applyAlignment="1">
      <alignment horizontal="center" vertical="center"/>
    </xf>
    <xf numFmtId="182" fontId="12" fillId="7" borderId="70" xfId="1" applyNumberFormat="1" applyFont="1" applyFill="1" applyBorder="1" applyAlignment="1">
      <alignment horizontal="center" vertical="center"/>
    </xf>
    <xf numFmtId="0" fontId="53" fillId="4" borderId="75" xfId="0" applyFont="1" applyFill="1" applyBorder="1" applyAlignment="1">
      <alignment horizontal="center" vertical="center"/>
    </xf>
    <xf numFmtId="0" fontId="53" fillId="4" borderId="76" xfId="0" applyFont="1" applyFill="1" applyBorder="1" applyAlignment="1">
      <alignment horizontal="center" vertical="center"/>
    </xf>
    <xf numFmtId="0" fontId="53" fillId="4" borderId="80" xfId="0" applyFont="1" applyFill="1" applyBorder="1" applyAlignment="1">
      <alignment horizontal="center" vertical="center"/>
    </xf>
    <xf numFmtId="0" fontId="7" fillId="4" borderId="128" xfId="0" applyFont="1" applyFill="1" applyBorder="1" applyAlignment="1">
      <alignment horizontal="center" vertical="center"/>
    </xf>
    <xf numFmtId="0" fontId="7" fillId="4" borderId="53" xfId="0" applyFont="1" applyFill="1" applyBorder="1" applyAlignment="1">
      <alignment horizontal="center" vertical="center"/>
    </xf>
    <xf numFmtId="166" fontId="6" fillId="34" borderId="17" xfId="0" applyNumberFormat="1" applyFont="1" applyFill="1" applyBorder="1" applyAlignment="1">
      <alignment horizontal="center" vertical="center"/>
    </xf>
    <xf numFmtId="166" fontId="6" fillId="34" borderId="18" xfId="0" applyNumberFormat="1" applyFont="1" applyFill="1" applyBorder="1" applyAlignment="1">
      <alignment horizontal="center" vertical="center"/>
    </xf>
    <xf numFmtId="166" fontId="6" fillId="34" borderId="108" xfId="0" applyNumberFormat="1" applyFont="1" applyFill="1" applyBorder="1" applyAlignment="1">
      <alignment horizontal="center" vertical="center"/>
    </xf>
    <xf numFmtId="166" fontId="6" fillId="35" borderId="17" xfId="0" applyNumberFormat="1" applyFont="1" applyFill="1" applyBorder="1" applyAlignment="1">
      <alignment horizontal="center" vertical="center"/>
    </xf>
    <xf numFmtId="166" fontId="6" fillId="35" borderId="18" xfId="0" applyNumberFormat="1" applyFont="1" applyFill="1" applyBorder="1" applyAlignment="1">
      <alignment horizontal="center" vertical="center"/>
    </xf>
    <xf numFmtId="166" fontId="6" fillId="35" borderId="108" xfId="0" applyNumberFormat="1" applyFont="1" applyFill="1" applyBorder="1" applyAlignment="1">
      <alignment horizontal="center" vertical="center"/>
    </xf>
    <xf numFmtId="165" fontId="3" fillId="18" borderId="29" xfId="0" applyNumberFormat="1" applyFont="1" applyFill="1" applyBorder="1" applyAlignment="1" applyProtection="1">
      <alignment horizontal="center" vertical="center"/>
      <protection locked="0"/>
    </xf>
    <xf numFmtId="165" fontId="3" fillId="18" borderId="33" xfId="0" applyNumberFormat="1" applyFont="1" applyFill="1" applyBorder="1" applyAlignment="1" applyProtection="1">
      <alignment horizontal="center" vertical="center"/>
      <protection locked="0"/>
    </xf>
    <xf numFmtId="165" fontId="3" fillId="18" borderId="70" xfId="0" applyNumberFormat="1" applyFont="1" applyFill="1" applyBorder="1" applyAlignment="1" applyProtection="1">
      <alignment horizontal="center" vertical="center"/>
      <protection locked="0"/>
    </xf>
    <xf numFmtId="175" fontId="3" fillId="18" borderId="29" xfId="0" applyNumberFormat="1" applyFont="1" applyFill="1" applyBorder="1" applyAlignment="1" applyProtection="1">
      <alignment horizontal="center" vertical="center"/>
      <protection locked="0"/>
    </xf>
    <xf numFmtId="175" fontId="3" fillId="18" borderId="33" xfId="0" applyNumberFormat="1" applyFont="1" applyFill="1" applyBorder="1" applyAlignment="1" applyProtection="1">
      <alignment horizontal="center" vertical="center"/>
      <protection locked="0"/>
    </xf>
    <xf numFmtId="175" fontId="3" fillId="18" borderId="70" xfId="0" applyNumberFormat="1" applyFont="1" applyFill="1" applyBorder="1" applyAlignment="1" applyProtection="1">
      <alignment horizontal="center" vertical="center"/>
      <protection locked="0"/>
    </xf>
    <xf numFmtId="1" fontId="3" fillId="34" borderId="94" xfId="0" applyNumberFormat="1" applyFont="1" applyFill="1" applyBorder="1" applyAlignment="1">
      <alignment horizontal="center" vertical="center"/>
    </xf>
    <xf numFmtId="1" fontId="3" fillId="34" borderId="13" xfId="0" applyNumberFormat="1" applyFont="1" applyFill="1" applyBorder="1" applyAlignment="1">
      <alignment horizontal="center" vertical="center"/>
    </xf>
    <xf numFmtId="9" fontId="12" fillId="18" borderId="62" xfId="0" applyNumberFormat="1" applyFont="1" applyFill="1" applyBorder="1" applyAlignment="1">
      <alignment horizontal="center" vertical="center"/>
    </xf>
    <xf numFmtId="9" fontId="12" fillId="18" borderId="72" xfId="0" applyNumberFormat="1" applyFont="1" applyFill="1" applyBorder="1" applyAlignment="1">
      <alignment horizontal="center" vertical="center"/>
    </xf>
    <xf numFmtId="9" fontId="12" fillId="18" borderId="74" xfId="0" applyNumberFormat="1" applyFont="1" applyFill="1" applyBorder="1" applyAlignment="1">
      <alignment horizontal="center" vertical="center"/>
    </xf>
    <xf numFmtId="1" fontId="3" fillId="14" borderId="95" xfId="0" applyNumberFormat="1" applyFont="1" applyFill="1" applyBorder="1" applyAlignment="1">
      <alignment horizontal="center" vertical="center"/>
    </xf>
    <xf numFmtId="1" fontId="3" fillId="14" borderId="20" xfId="0" applyNumberFormat="1" applyFont="1" applyFill="1" applyBorder="1" applyAlignment="1">
      <alignment horizontal="center" vertical="center"/>
    </xf>
    <xf numFmtId="1" fontId="3" fillId="14" borderId="109" xfId="0" applyNumberFormat="1" applyFont="1" applyFill="1" applyBorder="1" applyAlignment="1">
      <alignment horizontal="center" vertical="center" wrapText="1"/>
    </xf>
    <xf numFmtId="1" fontId="3" fillId="14" borderId="96" xfId="0" applyNumberFormat="1" applyFont="1" applyFill="1" applyBorder="1" applyAlignment="1">
      <alignment horizontal="center" vertical="center" wrapText="1"/>
    </xf>
    <xf numFmtId="9" fontId="3" fillId="14" borderId="110" xfId="1" applyFont="1" applyFill="1" applyBorder="1" applyAlignment="1">
      <alignment horizontal="center" vertical="center"/>
    </xf>
    <xf numFmtId="9" fontId="3" fillId="14" borderId="98" xfId="1" applyFont="1" applyFill="1" applyBorder="1" applyAlignment="1">
      <alignment horizontal="center" vertical="center"/>
    </xf>
    <xf numFmtId="9" fontId="3" fillId="14" borderId="166" xfId="1" applyFont="1" applyFill="1" applyBorder="1" applyAlignment="1">
      <alignment horizontal="center" vertical="center"/>
    </xf>
    <xf numFmtId="9" fontId="3" fillId="14" borderId="167" xfId="1" applyFont="1" applyFill="1" applyBorder="1" applyAlignment="1">
      <alignment horizontal="center" vertical="center"/>
    </xf>
    <xf numFmtId="0" fontId="0" fillId="23" borderId="5" xfId="0" applyFill="1" applyBorder="1" applyAlignment="1" applyProtection="1">
      <alignment horizontal="center" vertical="center"/>
      <protection locked="0"/>
    </xf>
    <xf numFmtId="0" fontId="13" fillId="20" borderId="130" xfId="0" applyFont="1" applyFill="1" applyBorder="1" applyAlignment="1">
      <alignment horizontal="center" vertical="center"/>
    </xf>
    <xf numFmtId="0" fontId="13" fillId="20" borderId="145" xfId="0" applyFont="1" applyFill="1" applyBorder="1" applyAlignment="1">
      <alignment horizontal="center" vertical="center"/>
    </xf>
    <xf numFmtId="0" fontId="13" fillId="20" borderId="135" xfId="0" applyFont="1" applyFill="1" applyBorder="1" applyAlignment="1">
      <alignment horizontal="center" vertical="center"/>
    </xf>
    <xf numFmtId="0" fontId="13" fillId="20" borderId="52" xfId="0" applyFont="1" applyFill="1" applyBorder="1" applyAlignment="1">
      <alignment horizontal="center" vertical="center"/>
    </xf>
    <xf numFmtId="0" fontId="3" fillId="20" borderId="132" xfId="0" applyFont="1" applyFill="1" applyBorder="1" applyAlignment="1">
      <alignment horizontal="center" vertical="center" wrapText="1"/>
    </xf>
    <xf numFmtId="0" fontId="3" fillId="20" borderId="133" xfId="0" applyFont="1" applyFill="1" applyBorder="1" applyAlignment="1">
      <alignment horizontal="center" vertical="center" wrapText="1"/>
    </xf>
    <xf numFmtId="0" fontId="3" fillId="20" borderId="134" xfId="0" applyFont="1" applyFill="1" applyBorder="1" applyAlignment="1">
      <alignment horizontal="center" vertical="center" wrapText="1"/>
    </xf>
    <xf numFmtId="175" fontId="0" fillId="20" borderId="33" xfId="0" applyNumberFormat="1" applyFill="1" applyBorder="1" applyAlignment="1">
      <alignment horizontal="center" vertical="center"/>
    </xf>
    <xf numFmtId="175" fontId="0" fillId="20" borderId="136" xfId="0" applyNumberFormat="1" applyFill="1" applyBorder="1" applyAlignment="1">
      <alignment horizontal="center" vertical="center"/>
    </xf>
    <xf numFmtId="165" fontId="0" fillId="20" borderId="33" xfId="0" applyNumberFormat="1" applyFill="1" applyBorder="1" applyAlignment="1" applyProtection="1">
      <alignment horizontal="center" vertical="center"/>
      <protection locked="0"/>
    </xf>
    <xf numFmtId="165" fontId="0" fillId="20" borderId="136" xfId="0" applyNumberFormat="1" applyFill="1" applyBorder="1" applyAlignment="1" applyProtection="1">
      <alignment horizontal="center" vertical="center"/>
      <protection locked="0"/>
    </xf>
    <xf numFmtId="9" fontId="12" fillId="20" borderId="140" xfId="0" applyNumberFormat="1" applyFont="1" applyFill="1" applyBorder="1" applyAlignment="1">
      <alignment horizontal="center" vertical="center" wrapText="1"/>
    </xf>
    <xf numFmtId="9" fontId="12" fillId="20" borderId="150" xfId="0" applyNumberFormat="1" applyFont="1" applyFill="1" applyBorder="1" applyAlignment="1">
      <alignment horizontal="center" vertical="center" wrapText="1"/>
    </xf>
    <xf numFmtId="9" fontId="12" fillId="20" borderId="151" xfId="0" applyNumberFormat="1" applyFont="1" applyFill="1" applyBorder="1" applyAlignment="1">
      <alignment horizontal="center" vertical="center" wrapText="1"/>
    </xf>
    <xf numFmtId="166" fontId="6" fillId="5" borderId="113" xfId="0" applyNumberFormat="1" applyFont="1" applyFill="1" applyBorder="1" applyAlignment="1">
      <alignment horizontal="center" vertical="center"/>
    </xf>
    <xf numFmtId="166" fontId="6" fillId="5" borderId="116" xfId="0" applyNumberFormat="1" applyFont="1" applyFill="1" applyBorder="1" applyAlignment="1">
      <alignment horizontal="center" vertical="center"/>
    </xf>
    <xf numFmtId="222" fontId="0" fillId="20" borderId="142" xfId="0" applyNumberFormat="1" applyFill="1" applyBorder="1" applyAlignment="1">
      <alignment horizontal="center" vertical="center"/>
    </xf>
    <xf numFmtId="222" fontId="0" fillId="20" borderId="143" xfId="0" applyNumberFormat="1" applyFill="1" applyBorder="1" applyAlignment="1">
      <alignment horizontal="center" vertical="center"/>
    </xf>
    <xf numFmtId="222" fontId="0" fillId="20" borderId="144" xfId="0" applyNumberFormat="1" applyFill="1" applyBorder="1" applyAlignment="1">
      <alignment horizontal="center" vertical="center"/>
    </xf>
    <xf numFmtId="10" fontId="3" fillId="20" borderId="29" xfId="0" applyNumberFormat="1" applyFont="1" applyFill="1" applyBorder="1" applyAlignment="1">
      <alignment horizontal="center" vertical="center"/>
    </xf>
    <xf numFmtId="10" fontId="3" fillId="20" borderId="33" xfId="0" applyNumberFormat="1" applyFont="1" applyFill="1" applyBorder="1" applyAlignment="1">
      <alignment horizontal="center" vertical="center"/>
    </xf>
    <xf numFmtId="164" fontId="0" fillId="20" borderId="156" xfId="0" applyNumberFormat="1" applyFill="1" applyBorder="1" applyAlignment="1">
      <alignment horizontal="center" vertical="center"/>
    </xf>
    <xf numFmtId="164" fontId="0" fillId="20" borderId="157" xfId="0" applyNumberFormat="1" applyFill="1" applyBorder="1" applyAlignment="1">
      <alignment horizontal="center" vertical="center"/>
    </xf>
    <xf numFmtId="0" fontId="3" fillId="20" borderId="70" xfId="0" applyFont="1" applyFill="1" applyBorder="1" applyAlignment="1">
      <alignment horizontal="center" vertical="center"/>
    </xf>
    <xf numFmtId="0" fontId="13" fillId="19" borderId="130" xfId="0" applyFont="1" applyFill="1" applyBorder="1" applyAlignment="1">
      <alignment horizontal="center" vertical="center"/>
    </xf>
    <xf numFmtId="0" fontId="13" fillId="19" borderId="145" xfId="0" applyFont="1" applyFill="1" applyBorder="1" applyAlignment="1">
      <alignment horizontal="center" vertical="center"/>
    </xf>
    <xf numFmtId="0" fontId="13" fillId="19" borderId="135" xfId="0" applyFont="1" applyFill="1" applyBorder="1" applyAlignment="1">
      <alignment horizontal="center" vertical="center"/>
    </xf>
    <xf numFmtId="0" fontId="13" fillId="19" borderId="137" xfId="0" applyFont="1" applyFill="1" applyBorder="1" applyAlignment="1">
      <alignment horizontal="center" vertical="center"/>
    </xf>
    <xf numFmtId="0" fontId="13" fillId="19" borderId="139" xfId="0" applyFont="1" applyFill="1" applyBorder="1" applyAlignment="1">
      <alignment horizontal="center" vertical="center"/>
    </xf>
    <xf numFmtId="0" fontId="3" fillId="20" borderId="128" xfId="0" applyFont="1" applyFill="1" applyBorder="1" applyAlignment="1">
      <alignment horizontal="center" vertical="center"/>
    </xf>
    <xf numFmtId="0" fontId="3" fillId="20" borderId="79" xfId="0" applyFont="1" applyFill="1" applyBorder="1" applyAlignment="1">
      <alignment horizontal="center" vertical="center"/>
    </xf>
    <xf numFmtId="0" fontId="13" fillId="20" borderId="137" xfId="0" applyFont="1" applyFill="1" applyBorder="1" applyAlignment="1">
      <alignment horizontal="center" vertical="center"/>
    </xf>
    <xf numFmtId="0" fontId="13" fillId="20" borderId="138" xfId="0" applyFont="1" applyFill="1" applyBorder="1" applyAlignment="1">
      <alignment horizontal="center" vertical="center"/>
    </xf>
    <xf numFmtId="226" fontId="0" fillId="20" borderId="62" xfId="0" applyNumberFormat="1" applyFill="1" applyBorder="1" applyAlignment="1">
      <alignment horizontal="center" vertical="center"/>
    </xf>
    <xf numFmtId="226" fontId="0" fillId="20" borderId="74" xfId="0" applyNumberFormat="1" applyFill="1" applyBorder="1" applyAlignment="1">
      <alignment horizontal="center" vertical="center"/>
    </xf>
    <xf numFmtId="210" fontId="0" fillId="20" borderId="129" xfId="0" applyNumberFormat="1" applyFill="1" applyBorder="1" applyAlignment="1">
      <alignment horizontal="center" vertical="center"/>
    </xf>
    <xf numFmtId="210" fontId="0" fillId="20" borderId="74" xfId="0" applyNumberFormat="1" applyFill="1" applyBorder="1" applyAlignment="1">
      <alignment horizontal="center" vertical="center"/>
    </xf>
    <xf numFmtId="174" fontId="62" fillId="20" borderId="7" xfId="0" applyNumberFormat="1" applyFont="1" applyFill="1" applyBorder="1" applyAlignment="1">
      <alignment horizontal="center" vertical="center" wrapText="1"/>
    </xf>
    <xf numFmtId="174" fontId="62" fillId="20" borderId="8" xfId="0" applyNumberFormat="1" applyFont="1" applyFill="1" applyBorder="1" applyAlignment="1">
      <alignment horizontal="center" vertical="center" wrapText="1"/>
    </xf>
    <xf numFmtId="174" fontId="62" fillId="20" borderId="88" xfId="0" applyNumberFormat="1" applyFont="1" applyFill="1" applyBorder="1" applyAlignment="1">
      <alignment horizontal="center" vertical="center" wrapText="1"/>
    </xf>
    <xf numFmtId="174" fontId="62" fillId="20" borderId="4" xfId="0" applyNumberFormat="1" applyFont="1" applyFill="1" applyBorder="1" applyAlignment="1">
      <alignment horizontal="center" vertical="center" wrapText="1"/>
    </xf>
    <xf numFmtId="174" fontId="62" fillId="20" borderId="5" xfId="0" applyNumberFormat="1" applyFont="1" applyFill="1" applyBorder="1" applyAlignment="1">
      <alignment horizontal="center" vertical="center" wrapText="1"/>
    </xf>
    <xf numFmtId="174" fontId="62" fillId="20" borderId="91" xfId="0" applyNumberFormat="1" applyFont="1" applyFill="1" applyBorder="1" applyAlignment="1">
      <alignment horizontal="center" vertical="center" wrapText="1"/>
    </xf>
    <xf numFmtId="166" fontId="3" fillId="18" borderId="94" xfId="0" applyNumberFormat="1" applyFont="1" applyFill="1" applyBorder="1" applyAlignment="1">
      <alignment horizontal="center" vertical="center"/>
    </xf>
    <xf numFmtId="1" fontId="3" fillId="34" borderId="109" xfId="0" applyNumberFormat="1" applyFont="1" applyFill="1" applyBorder="1" applyAlignment="1">
      <alignment horizontal="center" vertical="center"/>
    </xf>
    <xf numFmtId="1" fontId="3" fillId="34" borderId="48" xfId="0" applyNumberFormat="1" applyFont="1" applyFill="1" applyBorder="1" applyAlignment="1">
      <alignment horizontal="center" vertical="center"/>
    </xf>
    <xf numFmtId="1" fontId="3" fillId="34" borderId="4" xfId="0" applyNumberFormat="1" applyFont="1" applyFill="1" applyBorder="1" applyAlignment="1">
      <alignment horizontal="center" vertical="center"/>
    </xf>
    <xf numFmtId="1" fontId="3" fillId="34" borderId="160" xfId="0" applyNumberFormat="1" applyFont="1" applyFill="1" applyBorder="1" applyAlignment="1">
      <alignment horizontal="center" vertical="center"/>
    </xf>
    <xf numFmtId="166" fontId="6" fillId="18" borderId="17" xfId="0" applyNumberFormat="1" applyFont="1" applyFill="1" applyBorder="1" applyAlignment="1">
      <alignment horizontal="center" vertical="center"/>
    </xf>
    <xf numFmtId="166" fontId="6" fillId="18" borderId="18" xfId="0" applyNumberFormat="1" applyFont="1" applyFill="1" applyBorder="1" applyAlignment="1">
      <alignment horizontal="center" vertical="center"/>
    </xf>
    <xf numFmtId="166" fontId="6" fillId="18" borderId="108" xfId="0" applyNumberFormat="1" applyFont="1" applyFill="1" applyBorder="1" applyAlignment="1">
      <alignment horizontal="center" vertical="center"/>
    </xf>
    <xf numFmtId="0" fontId="25" fillId="23" borderId="8" xfId="0" applyFont="1" applyFill="1" applyBorder="1" applyAlignment="1" applyProtection="1">
      <alignment horizontal="center" vertical="center" wrapText="1"/>
      <protection locked="0"/>
    </xf>
    <xf numFmtId="0" fontId="50" fillId="23" borderId="0" xfId="0" applyFont="1" applyFill="1" applyAlignment="1" applyProtection="1">
      <alignment horizontal="center" vertical="center" wrapText="1"/>
      <protection locked="0"/>
    </xf>
    <xf numFmtId="0" fontId="50" fillId="23" borderId="93" xfId="0" applyFont="1" applyFill="1" applyBorder="1" applyAlignment="1" applyProtection="1">
      <alignment horizontal="center" vertical="center" wrapText="1"/>
      <protection locked="0"/>
    </xf>
    <xf numFmtId="0" fontId="3" fillId="15" borderId="29" xfId="0" applyFont="1" applyFill="1" applyBorder="1" applyAlignment="1">
      <alignment horizontal="left" vertical="center"/>
    </xf>
    <xf numFmtId="0" fontId="3" fillId="15" borderId="30" xfId="0" applyFont="1" applyFill="1" applyBorder="1" applyAlignment="1">
      <alignment horizontal="left" vertical="center"/>
    </xf>
    <xf numFmtId="0" fontId="23" fillId="15" borderId="62" xfId="0" applyFont="1" applyFill="1" applyBorder="1" applyAlignment="1">
      <alignment horizontal="center" vertical="center"/>
    </xf>
    <xf numFmtId="0" fontId="23" fillId="15" borderId="63" xfId="0" applyFont="1" applyFill="1" applyBorder="1" applyAlignment="1">
      <alignment horizontal="center" vertical="center"/>
    </xf>
    <xf numFmtId="0" fontId="0" fillId="15" borderId="29" xfId="0" applyFill="1" applyBorder="1" applyAlignment="1">
      <alignment horizontal="center" vertical="center"/>
    </xf>
    <xf numFmtId="0" fontId="0" fillId="15" borderId="30" xfId="0" applyFill="1" applyBorder="1" applyAlignment="1">
      <alignment horizontal="center" vertical="center"/>
    </xf>
    <xf numFmtId="175" fontId="60" fillId="20" borderId="29" xfId="0" applyNumberFormat="1" applyFont="1" applyFill="1" applyBorder="1" applyAlignment="1">
      <alignment horizontal="center" vertical="center"/>
    </xf>
    <xf numFmtId="175" fontId="60" fillId="20" borderId="33" xfId="0" applyNumberFormat="1" applyFont="1" applyFill="1" applyBorder="1" applyAlignment="1">
      <alignment horizontal="center" vertical="center"/>
    </xf>
    <xf numFmtId="175" fontId="60" fillId="20" borderId="136" xfId="0" applyNumberFormat="1" applyFont="1" applyFill="1" applyBorder="1" applyAlignment="1">
      <alignment horizontal="center" vertical="center"/>
    </xf>
    <xf numFmtId="0" fontId="75" fillId="0" borderId="0" xfId="0" applyFont="1" applyAlignment="1">
      <alignment horizontal="center" vertical="center" wrapText="1"/>
    </xf>
    <xf numFmtId="0" fontId="50" fillId="0" borderId="2" xfId="0" applyFont="1" applyBorder="1" applyAlignment="1" applyProtection="1">
      <alignment horizontal="left" vertical="center"/>
      <protection locked="0"/>
    </xf>
    <xf numFmtId="0" fontId="6" fillId="2" borderId="1" xfId="0" applyFont="1" applyFill="1" applyBorder="1" applyAlignment="1">
      <alignment horizontal="center" vertical="center"/>
    </xf>
    <xf numFmtId="0" fontId="6" fillId="2" borderId="2" xfId="0" applyFont="1" applyFill="1" applyBorder="1" applyAlignment="1">
      <alignment horizontal="center" vertical="center"/>
    </xf>
    <xf numFmtId="0" fontId="6" fillId="2" borderId="3" xfId="0" applyFont="1" applyFill="1" applyBorder="1" applyAlignment="1">
      <alignment horizontal="center" vertical="center"/>
    </xf>
    <xf numFmtId="0" fontId="6" fillId="4" borderId="89" xfId="0" applyFont="1" applyFill="1" applyBorder="1" applyAlignment="1">
      <alignment horizontal="center" vertical="center"/>
    </xf>
    <xf numFmtId="0" fontId="6" fillId="4" borderId="0" xfId="0" applyFont="1" applyFill="1" applyAlignment="1">
      <alignment horizontal="center" vertical="center"/>
    </xf>
    <xf numFmtId="0" fontId="8" fillId="55" borderId="25" xfId="0" applyFont="1" applyFill="1" applyBorder="1" applyAlignment="1">
      <alignment horizontal="left" vertical="center"/>
    </xf>
    <xf numFmtId="0" fontId="8" fillId="55" borderId="0" xfId="0" applyFont="1" applyFill="1" applyAlignment="1">
      <alignment horizontal="left" vertical="center"/>
    </xf>
    <xf numFmtId="9" fontId="0" fillId="7" borderId="11" xfId="0" applyNumberFormat="1" applyFill="1" applyBorder="1" applyAlignment="1">
      <alignment horizontal="center" vertical="center" wrapText="1"/>
    </xf>
    <xf numFmtId="0" fontId="53" fillId="2" borderId="11" xfId="0" applyFont="1" applyFill="1" applyBorder="1" applyAlignment="1">
      <alignment horizontal="center" vertical="center" wrapText="1"/>
    </xf>
    <xf numFmtId="0" fontId="3" fillId="61" borderId="43" xfId="0" applyFont="1" applyFill="1" applyBorder="1" applyAlignment="1">
      <alignment horizontal="center" vertical="center" wrapText="1"/>
    </xf>
    <xf numFmtId="0" fontId="3" fillId="61" borderId="37" xfId="0" applyFont="1" applyFill="1" applyBorder="1" applyAlignment="1">
      <alignment horizontal="center" vertical="center"/>
    </xf>
    <xf numFmtId="0" fontId="0" fillId="61" borderId="43" xfId="0" applyFill="1" applyBorder="1" applyAlignment="1">
      <alignment horizontal="center" vertical="center" wrapText="1"/>
    </xf>
    <xf numFmtId="0" fontId="0" fillId="13" borderId="19" xfId="0" applyFill="1" applyBorder="1" applyAlignment="1">
      <alignment horizontal="center" vertical="center"/>
    </xf>
    <xf numFmtId="0" fontId="0" fillId="13" borderId="13" xfId="0" applyFill="1" applyBorder="1" applyAlignment="1">
      <alignment horizontal="center" vertical="center"/>
    </xf>
    <xf numFmtId="0" fontId="18" fillId="32" borderId="94" xfId="0" applyFont="1" applyFill="1" applyBorder="1" applyAlignment="1">
      <alignment horizontal="center" vertical="center" wrapText="1"/>
    </xf>
    <xf numFmtId="0" fontId="18" fillId="32" borderId="24" xfId="0" applyFont="1" applyFill="1" applyBorder="1" applyAlignment="1">
      <alignment horizontal="center" vertical="center" wrapText="1"/>
    </xf>
    <xf numFmtId="0" fontId="18" fillId="13" borderId="19" xfId="0" applyFont="1" applyFill="1" applyBorder="1" applyAlignment="1" applyProtection="1">
      <alignment horizontal="center" vertical="center"/>
      <protection locked="0"/>
    </xf>
    <xf numFmtId="0" fontId="18" fillId="13" borderId="13" xfId="0" applyFont="1" applyFill="1" applyBorder="1" applyAlignment="1" applyProtection="1">
      <alignment horizontal="center" vertical="center"/>
      <protection locked="0"/>
    </xf>
    <xf numFmtId="0" fontId="19" fillId="32" borderId="96" xfId="0" applyFont="1" applyFill="1" applyBorder="1" applyAlignment="1">
      <alignment horizontal="center" vertical="center"/>
    </xf>
    <xf numFmtId="0" fontId="19" fillId="32" borderId="0" xfId="0" applyFont="1" applyFill="1" applyAlignment="1">
      <alignment horizontal="center" vertical="center"/>
    </xf>
    <xf numFmtId="0" fontId="19" fillId="32" borderId="43" xfId="0" applyFont="1" applyFill="1" applyBorder="1" applyAlignment="1">
      <alignment horizontal="center" vertical="center"/>
    </xf>
    <xf numFmtId="0" fontId="18" fillId="13" borderId="19" xfId="0" applyFont="1" applyFill="1" applyBorder="1" applyAlignment="1" applyProtection="1">
      <alignment horizontal="center" vertical="center" wrapText="1"/>
      <protection locked="0"/>
    </xf>
    <xf numFmtId="0" fontId="18" fillId="13" borderId="37" xfId="0" applyFont="1" applyFill="1" applyBorder="1" applyAlignment="1" applyProtection="1">
      <alignment horizontal="center" vertical="center" wrapText="1"/>
      <protection locked="0"/>
    </xf>
    <xf numFmtId="0" fontId="18" fillId="13" borderId="13" xfId="0" applyFont="1" applyFill="1" applyBorder="1" applyAlignment="1" applyProtection="1">
      <alignment horizontal="center" vertical="center" wrapText="1"/>
      <protection locked="0"/>
    </xf>
    <xf numFmtId="0" fontId="39" fillId="13" borderId="25" xfId="0" applyFont="1" applyFill="1" applyBorder="1" applyAlignment="1">
      <alignment horizontal="center" vertical="center"/>
    </xf>
    <xf numFmtId="0" fontId="39" fillId="13" borderId="0" xfId="0" applyFont="1" applyFill="1" applyAlignment="1">
      <alignment horizontal="center" vertical="center"/>
    </xf>
    <xf numFmtId="0" fontId="19" fillId="13" borderId="96" xfId="0" applyFont="1" applyFill="1" applyBorder="1" applyAlignment="1">
      <alignment horizontal="center" vertical="center"/>
    </xf>
    <xf numFmtId="0" fontId="19" fillId="13" borderId="43" xfId="0" applyFont="1" applyFill="1" applyBorder="1" applyAlignment="1">
      <alignment horizontal="center" vertical="center"/>
    </xf>
    <xf numFmtId="0" fontId="18" fillId="13" borderId="37" xfId="0" applyFont="1" applyFill="1" applyBorder="1" applyAlignment="1" applyProtection="1">
      <alignment horizontal="center" vertical="center"/>
      <protection locked="0"/>
    </xf>
    <xf numFmtId="0" fontId="32" fillId="13" borderId="19" xfId="0" applyFont="1" applyFill="1" applyBorder="1" applyAlignment="1">
      <alignment horizontal="center" vertical="center"/>
    </xf>
    <xf numFmtId="0" fontId="32" fillId="13" borderId="13" xfId="0" applyFont="1" applyFill="1" applyBorder="1" applyAlignment="1">
      <alignment horizontal="center" vertical="center"/>
    </xf>
    <xf numFmtId="0" fontId="32" fillId="13" borderId="19" xfId="0" applyFont="1" applyFill="1" applyBorder="1" applyAlignment="1">
      <alignment horizontal="center" vertical="center" wrapText="1"/>
    </xf>
    <xf numFmtId="0" fontId="32" fillId="13" borderId="37" xfId="0" applyFont="1" applyFill="1" applyBorder="1" applyAlignment="1">
      <alignment horizontal="center" vertical="center" wrapText="1"/>
    </xf>
    <xf numFmtId="0" fontId="32" fillId="13" borderId="13" xfId="0" applyFont="1" applyFill="1" applyBorder="1" applyAlignment="1">
      <alignment horizontal="center" vertical="center" wrapText="1"/>
    </xf>
    <xf numFmtId="0" fontId="77" fillId="10" borderId="22" xfId="0" applyFont="1" applyFill="1" applyBorder="1" applyAlignment="1">
      <alignment horizontal="center" vertical="center"/>
    </xf>
    <xf numFmtId="0" fontId="77" fillId="10" borderId="5" xfId="0" applyFont="1" applyFill="1" applyBorder="1" applyAlignment="1">
      <alignment horizontal="center" vertical="center"/>
    </xf>
    <xf numFmtId="0" fontId="8" fillId="8" borderId="25" xfId="0" applyFont="1" applyFill="1" applyBorder="1" applyAlignment="1">
      <alignment horizontal="center" vertical="center"/>
    </xf>
    <xf numFmtId="0" fontId="8" fillId="8" borderId="0" xfId="0" applyFont="1" applyFill="1" applyAlignment="1">
      <alignment horizontal="center" vertical="center"/>
    </xf>
    <xf numFmtId="0" fontId="6" fillId="5" borderId="96" xfId="0" applyFont="1" applyFill="1" applyBorder="1" applyAlignment="1">
      <alignment horizontal="center" vertical="center"/>
    </xf>
    <xf numFmtId="0" fontId="6" fillId="5" borderId="43" xfId="0" applyFont="1" applyFill="1" applyBorder="1" applyAlignment="1">
      <alignment horizontal="center" vertical="center"/>
    </xf>
    <xf numFmtId="0" fontId="9" fillId="9" borderId="1" xfId="0" applyFont="1" applyFill="1" applyBorder="1" applyAlignment="1">
      <alignment horizontal="center" vertical="center"/>
    </xf>
    <xf numFmtId="0" fontId="9" fillId="9" borderId="2" xfId="0" applyFont="1" applyFill="1" applyBorder="1" applyAlignment="1">
      <alignment horizontal="center" vertical="center"/>
    </xf>
    <xf numFmtId="0" fontId="9" fillId="9" borderId="3" xfId="0" applyFont="1" applyFill="1" applyBorder="1" applyAlignment="1">
      <alignment horizontal="center" vertical="center"/>
    </xf>
    <xf numFmtId="0" fontId="8" fillId="9" borderId="89" xfId="0" applyFont="1" applyFill="1" applyBorder="1" applyAlignment="1">
      <alignment horizontal="center" vertical="center"/>
    </xf>
    <xf numFmtId="0" fontId="8" fillId="9" borderId="0" xfId="0" applyFont="1" applyFill="1" applyAlignment="1">
      <alignment horizontal="center" vertical="center"/>
    </xf>
    <xf numFmtId="0" fontId="19" fillId="32" borderId="94" xfId="0" applyFont="1" applyFill="1" applyBorder="1" applyAlignment="1">
      <alignment horizontal="center" vertical="center"/>
    </xf>
    <xf numFmtId="0" fontId="19" fillId="32" borderId="37" xfId="0" applyFont="1" applyFill="1" applyBorder="1" applyAlignment="1">
      <alignment horizontal="center" vertical="center"/>
    </xf>
    <xf numFmtId="0" fontId="6" fillId="6" borderId="89" xfId="0" applyFont="1" applyFill="1" applyBorder="1" applyAlignment="1">
      <alignment horizontal="center" vertical="center" wrapText="1"/>
    </xf>
    <xf numFmtId="0" fontId="6" fillId="6" borderId="0" xfId="0" applyFont="1" applyFill="1" applyAlignment="1">
      <alignment horizontal="center" vertical="center" wrapText="1"/>
    </xf>
    <xf numFmtId="0" fontId="77" fillId="2" borderId="37" xfId="0" applyFont="1" applyFill="1" applyBorder="1" applyAlignment="1">
      <alignment horizontal="left" vertical="center"/>
    </xf>
    <xf numFmtId="0" fontId="77" fillId="2" borderId="13" xfId="0" applyFont="1" applyFill="1" applyBorder="1" applyAlignment="1">
      <alignment horizontal="left" vertical="center"/>
    </xf>
    <xf numFmtId="0" fontId="0" fillId="2" borderId="47" xfId="0" applyFill="1" applyBorder="1" applyAlignment="1">
      <alignment horizontal="center" vertical="center" wrapText="1"/>
    </xf>
    <xf numFmtId="0" fontId="0" fillId="2" borderId="168" xfId="0" applyFill="1" applyBorder="1" applyAlignment="1">
      <alignment horizontal="center" vertical="center" wrapText="1"/>
    </xf>
    <xf numFmtId="0" fontId="8" fillId="2" borderId="22" xfId="0" applyFont="1" applyFill="1" applyBorder="1" applyAlignment="1">
      <alignment horizontal="center" vertical="center"/>
    </xf>
    <xf numFmtId="0" fontId="8" fillId="2" borderId="5" xfId="0" applyFont="1" applyFill="1" applyBorder="1" applyAlignment="1">
      <alignment horizontal="center" vertical="center"/>
    </xf>
    <xf numFmtId="0" fontId="0" fillId="32" borderId="0" xfId="0" applyFill="1" applyAlignment="1">
      <alignment horizontal="center" vertical="center" textRotation="90"/>
    </xf>
    <xf numFmtId="0" fontId="0" fillId="32" borderId="0" xfId="0" applyFill="1" applyAlignment="1">
      <alignment horizontal="left" vertical="center" textRotation="90" wrapText="1"/>
    </xf>
    <xf numFmtId="0" fontId="81" fillId="32" borderId="37" xfId="0" applyFont="1" applyFill="1" applyBorder="1" applyAlignment="1">
      <alignment horizontal="center" vertical="center"/>
    </xf>
    <xf numFmtId="0" fontId="0" fillId="2" borderId="37" xfId="0" applyFill="1" applyBorder="1" applyAlignment="1">
      <alignment horizontal="center" vertical="center" wrapText="1"/>
    </xf>
    <xf numFmtId="0" fontId="0" fillId="2" borderId="13" xfId="0" applyFill="1" applyBorder="1" applyAlignment="1">
      <alignment horizontal="center" vertical="center" wrapText="1"/>
    </xf>
    <xf numFmtId="0" fontId="79" fillId="2" borderId="18" xfId="0" applyFont="1" applyFill="1" applyBorder="1" applyAlignment="1">
      <alignment horizontal="left" vertical="center"/>
    </xf>
    <xf numFmtId="0" fontId="0" fillId="2" borderId="18" xfId="0" applyFill="1" applyBorder="1" applyAlignment="1">
      <alignment horizontal="center" vertical="center" wrapText="1"/>
    </xf>
    <xf numFmtId="0" fontId="0" fillId="2" borderId="21" xfId="0" applyFill="1" applyBorder="1" applyAlignment="1">
      <alignment horizontal="center" vertical="center" wrapText="1"/>
    </xf>
    <xf numFmtId="0" fontId="0" fillId="60" borderId="89" xfId="0" applyFill="1" applyBorder="1" applyAlignment="1">
      <alignment horizontal="center"/>
    </xf>
    <xf numFmtId="0" fontId="0" fillId="60" borderId="93" xfId="0" applyFill="1" applyBorder="1" applyAlignment="1">
      <alignment horizontal="center"/>
    </xf>
    <xf numFmtId="0" fontId="3" fillId="57" borderId="89" xfId="0" applyFont="1" applyFill="1" applyBorder="1" applyAlignment="1">
      <alignment horizontal="center"/>
    </xf>
    <xf numFmtId="0" fontId="3" fillId="57" borderId="93" xfId="0" applyFont="1" applyFill="1" applyBorder="1" applyAlignment="1">
      <alignment horizontal="center"/>
    </xf>
    <xf numFmtId="0" fontId="3" fillId="32" borderId="89" xfId="0" applyFont="1" applyFill="1" applyBorder="1" applyAlignment="1">
      <alignment horizontal="center"/>
    </xf>
    <xf numFmtId="0" fontId="3" fillId="32" borderId="93" xfId="0" applyFont="1" applyFill="1" applyBorder="1" applyAlignment="1">
      <alignment horizontal="center"/>
    </xf>
    <xf numFmtId="0" fontId="3" fillId="2" borderId="89" xfId="0" applyFont="1" applyFill="1" applyBorder="1" applyAlignment="1">
      <alignment horizontal="center"/>
    </xf>
    <xf numFmtId="0" fontId="3" fillId="2" borderId="93" xfId="0" applyFont="1" applyFill="1" applyBorder="1" applyAlignment="1">
      <alignment horizontal="center"/>
    </xf>
    <xf numFmtId="0" fontId="3" fillId="58" borderId="89" xfId="0" applyFont="1" applyFill="1" applyBorder="1" applyAlignment="1">
      <alignment horizontal="center"/>
    </xf>
    <xf numFmtId="0" fontId="3" fillId="58" borderId="93" xfId="0" applyFont="1" applyFill="1" applyBorder="1" applyAlignment="1">
      <alignment horizontal="center"/>
    </xf>
    <xf numFmtId="0" fontId="3" fillId="55" borderId="89" xfId="0" applyFont="1" applyFill="1" applyBorder="1" applyAlignment="1">
      <alignment horizontal="center"/>
    </xf>
    <xf numFmtId="0" fontId="3" fillId="55" borderId="93" xfId="0" applyFont="1" applyFill="1" applyBorder="1" applyAlignment="1">
      <alignment horizontal="center"/>
    </xf>
    <xf numFmtId="0" fontId="0" fillId="59" borderId="89" xfId="0" applyFill="1" applyBorder="1" applyAlignment="1">
      <alignment horizontal="center"/>
    </xf>
    <xf numFmtId="0" fontId="0" fillId="59" borderId="93" xfId="0" applyFill="1" applyBorder="1" applyAlignment="1">
      <alignment horizontal="center"/>
    </xf>
    <xf numFmtId="0" fontId="3" fillId="59" borderId="89" xfId="0" applyFont="1" applyFill="1" applyBorder="1" applyAlignment="1">
      <alignment horizontal="center"/>
    </xf>
    <xf numFmtId="0" fontId="3" fillId="59" borderId="0" xfId="0" applyFont="1" applyFill="1" applyAlignment="1">
      <alignment horizontal="center"/>
    </xf>
    <xf numFmtId="0" fontId="0" fillId="58" borderId="89" xfId="0" applyFill="1" applyBorder="1" applyAlignment="1">
      <alignment horizontal="center"/>
    </xf>
    <xf numFmtId="0" fontId="0" fillId="58" borderId="93" xfId="0" applyFill="1" applyBorder="1" applyAlignment="1">
      <alignment horizontal="center"/>
    </xf>
    <xf numFmtId="0" fontId="0" fillId="2" borderId="89" xfId="0" applyFill="1" applyBorder="1" applyAlignment="1">
      <alignment horizontal="center"/>
    </xf>
    <xf numFmtId="0" fontId="0" fillId="2" borderId="0" xfId="0" applyFill="1" applyAlignment="1">
      <alignment horizontal="center"/>
    </xf>
    <xf numFmtId="0" fontId="0" fillId="2" borderId="93" xfId="0" applyFill="1" applyBorder="1" applyAlignment="1">
      <alignment horizontal="center"/>
    </xf>
    <xf numFmtId="0" fontId="0" fillId="55" borderId="89" xfId="0" applyFill="1" applyBorder="1" applyAlignment="1">
      <alignment horizontal="center"/>
    </xf>
    <xf numFmtId="0" fontId="0" fillId="55" borderId="93" xfId="0" applyFill="1" applyBorder="1" applyAlignment="1">
      <alignment horizontal="center"/>
    </xf>
    <xf numFmtId="0" fontId="0" fillId="59" borderId="0" xfId="0" applyFill="1" applyAlignment="1">
      <alignment horizontal="center"/>
    </xf>
    <xf numFmtId="166" fontId="3" fillId="0" borderId="0" xfId="0" applyNumberFormat="1" applyFont="1" applyAlignment="1">
      <alignment horizontal="center" vertical="center"/>
    </xf>
    <xf numFmtId="166" fontId="3" fillId="14" borderId="94" xfId="0" applyNumberFormat="1" applyFont="1" applyFill="1" applyBorder="1" applyAlignment="1">
      <alignment horizontal="center" vertical="center"/>
    </xf>
    <xf numFmtId="166" fontId="3" fillId="14" borderId="13" xfId="0" applyNumberFormat="1" applyFont="1" applyFill="1" applyBorder="1" applyAlignment="1">
      <alignment horizontal="center" vertical="center"/>
    </xf>
    <xf numFmtId="166" fontId="3" fillId="14" borderId="95" xfId="0" applyNumberFormat="1" applyFont="1" applyFill="1" applyBorder="1" applyAlignment="1">
      <alignment horizontal="center" vertical="center"/>
    </xf>
    <xf numFmtId="166" fontId="3" fillId="14" borderId="20" xfId="0" applyNumberFormat="1" applyFont="1" applyFill="1" applyBorder="1" applyAlignment="1">
      <alignment horizontal="center" vertical="center"/>
    </xf>
    <xf numFmtId="211" fontId="0" fillId="5" borderId="19" xfId="0" applyNumberFormat="1" applyFill="1" applyBorder="1" applyAlignment="1" applyProtection="1">
      <alignment horizontal="center" vertical="center"/>
      <protection locked="0"/>
    </xf>
    <xf numFmtId="211" fontId="0" fillId="5" borderId="13" xfId="0" applyNumberFormat="1" applyFill="1" applyBorder="1" applyAlignment="1" applyProtection="1">
      <alignment horizontal="center" vertical="center"/>
      <protection locked="0"/>
    </xf>
    <xf numFmtId="0" fontId="3" fillId="27" borderId="46" xfId="0" applyFont="1" applyFill="1" applyBorder="1" applyAlignment="1">
      <alignment horizontal="center" vertical="center"/>
    </xf>
    <xf numFmtId="0" fontId="3" fillId="27" borderId="41" xfId="0" applyFont="1" applyFill="1" applyBorder="1" applyAlignment="1">
      <alignment horizontal="center" vertical="center"/>
    </xf>
    <xf numFmtId="0" fontId="3" fillId="27" borderId="38" xfId="0" applyFont="1" applyFill="1" applyBorder="1" applyAlignment="1">
      <alignment horizontal="center" vertical="center"/>
    </xf>
    <xf numFmtId="0" fontId="6" fillId="30" borderId="19" xfId="0" applyFont="1" applyFill="1" applyBorder="1" applyAlignment="1">
      <alignment horizontal="center" vertical="center"/>
    </xf>
    <xf numFmtId="0" fontId="6" fillId="30" borderId="37" xfId="0" applyFont="1" applyFill="1" applyBorder="1" applyAlignment="1">
      <alignment horizontal="center" vertical="center"/>
    </xf>
    <xf numFmtId="0" fontId="6" fillId="30" borderId="13" xfId="0" applyFont="1" applyFill="1" applyBorder="1" applyAlignment="1">
      <alignment horizontal="center" vertical="center"/>
    </xf>
    <xf numFmtId="0" fontId="3" fillId="30" borderId="19" xfId="0" applyFont="1" applyFill="1" applyBorder="1" applyAlignment="1">
      <alignment horizontal="center" vertical="center"/>
    </xf>
    <xf numFmtId="0" fontId="3" fillId="30" borderId="13" xfId="0" applyFont="1" applyFill="1" applyBorder="1" applyAlignment="1">
      <alignment horizontal="center" vertical="center"/>
    </xf>
    <xf numFmtId="0" fontId="6" fillId="27" borderId="19" xfId="0" applyFont="1" applyFill="1" applyBorder="1" applyAlignment="1">
      <alignment horizontal="center" vertical="center"/>
    </xf>
    <xf numFmtId="0" fontId="6" fillId="27" borderId="37" xfId="0" applyFont="1" applyFill="1" applyBorder="1" applyAlignment="1">
      <alignment horizontal="center" vertical="center"/>
    </xf>
    <xf numFmtId="0" fontId="6" fillId="27" borderId="13" xfId="0" applyFont="1" applyFill="1" applyBorder="1" applyAlignment="1">
      <alignment horizontal="center" vertical="center"/>
    </xf>
    <xf numFmtId="0" fontId="6" fillId="25" borderId="19" xfId="0" applyFont="1" applyFill="1" applyBorder="1" applyAlignment="1">
      <alignment horizontal="center" vertical="center"/>
    </xf>
    <xf numFmtId="0" fontId="6" fillId="25" borderId="37" xfId="0" applyFont="1" applyFill="1" applyBorder="1" applyAlignment="1">
      <alignment horizontal="center" vertical="center"/>
    </xf>
    <xf numFmtId="0" fontId="6" fillId="25" borderId="13" xfId="0" applyFont="1" applyFill="1" applyBorder="1" applyAlignment="1">
      <alignment horizontal="center" vertical="center"/>
    </xf>
    <xf numFmtId="0" fontId="3" fillId="5" borderId="11" xfId="0" applyFont="1" applyFill="1" applyBorder="1" applyAlignment="1">
      <alignment horizontal="center" vertical="center" wrapText="1"/>
    </xf>
    <xf numFmtId="0" fontId="3" fillId="5" borderId="47" xfId="0" applyFont="1" applyFill="1" applyBorder="1" applyAlignment="1">
      <alignment horizontal="center" vertical="center" wrapText="1"/>
    </xf>
    <xf numFmtId="0" fontId="3" fillId="5" borderId="48" xfId="0" applyFont="1" applyFill="1" applyBorder="1" applyAlignment="1">
      <alignment horizontal="center" vertical="center" wrapText="1"/>
    </xf>
    <xf numFmtId="0" fontId="3" fillId="5" borderId="42" xfId="0" applyFont="1" applyFill="1" applyBorder="1" applyAlignment="1">
      <alignment horizontal="center" vertical="center" wrapText="1"/>
    </xf>
    <xf numFmtId="0" fontId="3" fillId="5" borderId="44" xfId="0" applyFont="1" applyFill="1" applyBorder="1" applyAlignment="1">
      <alignment horizontal="center" vertical="center" wrapText="1"/>
    </xf>
    <xf numFmtId="0" fontId="6" fillId="26" borderId="19" xfId="0" applyFont="1" applyFill="1" applyBorder="1" applyAlignment="1">
      <alignment horizontal="center" vertical="center"/>
    </xf>
    <xf numFmtId="0" fontId="6" fillId="26" borderId="37" xfId="0" applyFont="1" applyFill="1" applyBorder="1" applyAlignment="1">
      <alignment horizontal="center" vertical="center"/>
    </xf>
    <xf numFmtId="0" fontId="6" fillId="26" borderId="13" xfId="0" applyFont="1" applyFill="1" applyBorder="1" applyAlignment="1">
      <alignment horizontal="center" vertical="center"/>
    </xf>
    <xf numFmtId="0" fontId="6" fillId="5" borderId="19" xfId="0" applyFont="1" applyFill="1" applyBorder="1" applyAlignment="1">
      <alignment horizontal="center" vertical="center"/>
    </xf>
    <xf numFmtId="0" fontId="6" fillId="5" borderId="37" xfId="0" applyFont="1" applyFill="1" applyBorder="1" applyAlignment="1">
      <alignment horizontal="center" vertical="center"/>
    </xf>
    <xf numFmtId="0" fontId="6" fillId="5" borderId="13" xfId="0" applyFont="1" applyFill="1" applyBorder="1" applyAlignment="1">
      <alignment horizontal="center" vertical="center"/>
    </xf>
    <xf numFmtId="0" fontId="15" fillId="5" borderId="37" xfId="0" applyFont="1" applyFill="1" applyBorder="1" applyAlignment="1" applyProtection="1">
      <alignment horizontal="center" vertical="center"/>
      <protection locked="0"/>
    </xf>
    <xf numFmtId="0" fontId="15" fillId="5" borderId="13" xfId="0" applyFont="1" applyFill="1" applyBorder="1" applyAlignment="1" applyProtection="1">
      <alignment horizontal="center" vertical="center"/>
      <protection locked="0"/>
    </xf>
    <xf numFmtId="0" fontId="6" fillId="28" borderId="19" xfId="0" applyFont="1" applyFill="1" applyBorder="1" applyAlignment="1">
      <alignment horizontal="center" vertical="center"/>
    </xf>
    <xf numFmtId="0" fontId="6" fillId="28" borderId="13" xfId="0" applyFont="1" applyFill="1" applyBorder="1" applyAlignment="1">
      <alignment horizontal="center" vertical="center"/>
    </xf>
    <xf numFmtId="184" fontId="3" fillId="17" borderId="11" xfId="0" applyNumberFormat="1" applyFont="1" applyFill="1" applyBorder="1" applyAlignment="1">
      <alignment horizontal="center" vertical="center"/>
    </xf>
    <xf numFmtId="0" fontId="6" fillId="24" borderId="19" xfId="0" applyFont="1" applyFill="1" applyBorder="1" applyAlignment="1">
      <alignment horizontal="center" vertical="center"/>
    </xf>
    <xf numFmtId="0" fontId="6" fillId="24" borderId="13" xfId="0" applyFont="1" applyFill="1" applyBorder="1" applyAlignment="1">
      <alignment horizontal="center" vertical="center"/>
    </xf>
    <xf numFmtId="0" fontId="14" fillId="21" borderId="1" xfId="0" applyFont="1" applyFill="1" applyBorder="1" applyAlignment="1">
      <alignment horizontal="center" vertical="center"/>
    </xf>
    <xf numFmtId="0" fontId="14" fillId="21" borderId="2" xfId="0" applyFont="1" applyFill="1" applyBorder="1" applyAlignment="1">
      <alignment horizontal="center" vertical="center"/>
    </xf>
    <xf numFmtId="0" fontId="14" fillId="21" borderId="3" xfId="0" applyFont="1" applyFill="1" applyBorder="1" applyAlignment="1">
      <alignment horizontal="center" vertical="center"/>
    </xf>
    <xf numFmtId="0" fontId="19" fillId="16" borderId="11" xfId="0" applyFont="1" applyFill="1" applyBorder="1" applyAlignment="1">
      <alignment horizontal="center" vertical="center"/>
    </xf>
    <xf numFmtId="0" fontId="6" fillId="17" borderId="11" xfId="0" applyFont="1" applyFill="1" applyBorder="1" applyAlignment="1">
      <alignment horizontal="center" vertical="center"/>
    </xf>
    <xf numFmtId="0" fontId="6" fillId="29" borderId="11" xfId="0" applyFont="1" applyFill="1" applyBorder="1" applyAlignment="1">
      <alignment horizontal="center" vertical="center"/>
    </xf>
    <xf numFmtId="197" fontId="0" fillId="29" borderId="19" xfId="0" applyNumberFormat="1" applyFill="1" applyBorder="1" applyAlignment="1" applyProtection="1">
      <alignment horizontal="center" vertical="center"/>
      <protection locked="0"/>
    </xf>
    <xf numFmtId="197" fontId="0" fillId="29" borderId="13" xfId="0" applyNumberFormat="1" applyFill="1" applyBorder="1" applyAlignment="1" applyProtection="1">
      <alignment horizontal="center" vertical="center"/>
      <protection locked="0"/>
    </xf>
    <xf numFmtId="0" fontId="3" fillId="29" borderId="11" xfId="0" applyFont="1" applyFill="1" applyBorder="1" applyAlignment="1">
      <alignment horizontal="center" vertical="center"/>
    </xf>
    <xf numFmtId="0" fontId="71" fillId="0" borderId="0" xfId="0" applyFont="1" applyBorder="1"/>
    <xf numFmtId="0" fontId="69" fillId="0" borderId="0" xfId="0" applyFont="1" applyBorder="1"/>
  </cellXfs>
  <cellStyles count="3">
    <cellStyle name="Lien hypertexte" xfId="2" builtinId="8"/>
    <cellStyle name="Normal" xfId="0" builtinId="0"/>
    <cellStyle name="Pourcentage" xfId="1" builtinId="5"/>
  </cellStyles>
  <dxfs count="74">
    <dxf>
      <numFmt numFmtId="0" formatCode="General"/>
      <alignment horizontal="center" vertical="bottom" textRotation="0" wrapText="0" indent="0" justifyLastLine="0" shrinkToFit="0" readingOrder="0"/>
    </dxf>
    <dxf>
      <alignment horizontal="center" vertical="bottom" textRotation="0" wrapText="0" indent="0" justifyLastLine="0" shrinkToFit="0" readingOrder="0"/>
    </dxf>
    <dxf>
      <alignment horizontal="center" vertical="bottom" textRotation="0" wrapText="0" indent="0" justifyLastLine="0" shrinkToFit="0" readingOrder="0"/>
    </dxf>
    <dxf>
      <alignment horizontal="center" vertical="bottom" textRotation="0" wrapText="0" indent="0" justifyLastLine="0" shrinkToFit="0" readingOrder="0"/>
    </dxf>
    <dxf>
      <alignment horizontal="center" vertical="bottom" textRotation="0" wrapText="0" indent="0" justifyLastLine="0" shrinkToFit="0" readingOrder="0"/>
    </dxf>
    <dxf>
      <alignment horizontal="center" vertical="bottom" textRotation="0" wrapText="0" indent="0" justifyLastLine="0" shrinkToFit="0" readingOrder="0"/>
    </dxf>
    <dxf>
      <alignment horizontal="center" vertical="bottom" textRotation="0" wrapText="0" indent="0" justifyLastLine="0" shrinkToFit="0" readingOrder="0"/>
    </dxf>
    <dxf>
      <alignment horizontal="center" vertical="bottom" textRotation="0" wrapText="0" indent="0" justifyLastLine="0" shrinkToFit="0" readingOrder="0"/>
    </dxf>
    <dxf>
      <alignment horizontal="center" vertical="bottom" textRotation="0" wrapText="0" indent="0" justifyLastLine="0" shrinkToFit="0" readingOrder="0"/>
    </dxf>
    <dxf>
      <alignment horizontal="center" vertical="bottom" textRotation="0" wrapText="0" indent="0" justifyLastLine="0" shrinkToFit="0" readingOrder="0"/>
    </dxf>
    <dxf>
      <alignment horizontal="center" vertical="bottom" textRotation="0" wrapText="0" indent="0" justifyLastLine="0" shrinkToFit="0" readingOrder="0"/>
    </dxf>
    <dxf>
      <font>
        <color rgb="FFC00000"/>
      </font>
      <alignment horizontal="center" vertical="bottom" textRotation="0" wrapText="0" indent="0" justifyLastLine="0" shrinkToFit="0" readingOrder="0"/>
      <border diagonalUp="0" diagonalDown="0">
        <left/>
        <right style="medium">
          <color indexed="64"/>
        </right>
        <top/>
        <bottom/>
        <vertical/>
        <horizontal/>
      </border>
    </dxf>
    <dxf>
      <font>
        <color rgb="FF0070C0"/>
      </font>
      <alignment horizontal="center" vertical="bottom" textRotation="0" wrapText="0" indent="0" justifyLastLine="0" shrinkToFit="0" readingOrder="0"/>
      <border diagonalUp="0" diagonalDown="0">
        <left style="medium">
          <color indexed="64"/>
        </left>
        <right/>
        <top/>
        <bottom/>
        <vertical/>
        <horizontal/>
      </border>
    </dxf>
    <dxf>
      <font>
        <strike val="0"/>
        <outline val="0"/>
        <shadow val="0"/>
        <u val="none"/>
        <vertAlign val="baseline"/>
        <sz val="11"/>
        <color rgb="FFC00000"/>
        <name val="Calibri"/>
        <family val="2"/>
        <scheme val="minor"/>
      </font>
      <alignment horizontal="center" vertical="bottom" textRotation="0" wrapText="0" indent="0" justifyLastLine="0" shrinkToFit="0" readingOrder="0"/>
      <border diagonalUp="0" diagonalDown="0">
        <left/>
        <right style="medium">
          <color indexed="64"/>
        </right>
        <top/>
        <bottom/>
        <vertical/>
        <horizontal/>
      </border>
    </dxf>
    <dxf>
      <font>
        <strike val="0"/>
        <outline val="0"/>
        <shadow val="0"/>
        <u val="none"/>
        <vertAlign val="baseline"/>
        <sz val="11"/>
        <color rgb="FF0070C0"/>
        <name val="Calibri"/>
        <family val="2"/>
        <scheme val="minor"/>
      </font>
      <alignment horizontal="center" vertical="bottom" textRotation="0" wrapText="0" indent="0" justifyLastLine="0" shrinkToFit="0" readingOrder="0"/>
      <border diagonalUp="0" diagonalDown="0">
        <left style="medium">
          <color indexed="64"/>
        </left>
        <right/>
        <top/>
        <bottom/>
        <vertical/>
        <horizontal/>
      </border>
    </dxf>
    <dxf>
      <font>
        <strike val="0"/>
        <outline val="0"/>
        <shadow val="0"/>
        <u val="none"/>
        <vertAlign val="baseline"/>
        <sz val="11"/>
        <color rgb="FFC00000"/>
        <name val="Calibri"/>
        <family val="2"/>
        <scheme val="minor"/>
      </font>
      <alignment horizontal="center" vertical="bottom" textRotation="0" wrapText="0" indent="0" justifyLastLine="0" shrinkToFit="0" readingOrder="0"/>
    </dxf>
    <dxf>
      <font>
        <strike val="0"/>
        <outline val="0"/>
        <shadow val="0"/>
        <u val="none"/>
        <vertAlign val="baseline"/>
        <sz val="11"/>
        <color rgb="FF0070C0"/>
        <name val="Calibri"/>
        <family val="2"/>
        <scheme val="minor"/>
      </font>
      <alignment horizontal="center" vertical="bottom" textRotation="0" wrapText="0" indent="0" justifyLastLine="0" shrinkToFit="0" readingOrder="0"/>
    </dxf>
    <dxf>
      <font>
        <strike val="0"/>
        <outline val="0"/>
        <shadow val="0"/>
        <u val="none"/>
        <vertAlign val="baseline"/>
        <sz val="11"/>
        <color rgb="FFC00000"/>
        <name val="Calibri"/>
        <family val="2"/>
        <scheme val="minor"/>
      </font>
      <alignment horizontal="center" vertical="bottom" textRotation="0" wrapText="0" indent="0" justifyLastLine="0" shrinkToFit="0" readingOrder="0"/>
      <border diagonalUp="0" diagonalDown="0">
        <left/>
        <right style="medium">
          <color indexed="64"/>
        </right>
        <top/>
        <bottom/>
        <vertical/>
        <horizontal/>
      </border>
    </dxf>
    <dxf>
      <font>
        <strike val="0"/>
        <outline val="0"/>
        <shadow val="0"/>
        <u val="none"/>
        <vertAlign val="baseline"/>
        <sz val="11"/>
        <color rgb="FF0070C0"/>
        <name val="Calibri"/>
        <family val="2"/>
        <scheme val="minor"/>
      </font>
      <alignment horizontal="center" vertical="bottom" textRotation="0" wrapText="0" indent="0" justifyLastLine="0" shrinkToFit="0" readingOrder="0"/>
      <border diagonalUp="0" diagonalDown="0">
        <left style="medium">
          <color indexed="64"/>
        </left>
        <right/>
        <top/>
        <bottom/>
        <vertical/>
        <horizontal/>
      </border>
    </dxf>
    <dxf>
      <font>
        <strike val="0"/>
        <outline val="0"/>
        <shadow val="0"/>
        <u val="none"/>
        <vertAlign val="baseline"/>
        <sz val="11"/>
        <color rgb="FFC00000"/>
        <name val="Calibri"/>
        <family val="2"/>
        <scheme val="minor"/>
      </font>
      <alignment horizontal="center" vertical="bottom" textRotation="0" wrapText="0" indent="0" justifyLastLine="0" shrinkToFit="0" readingOrder="0"/>
      <border diagonalUp="0" diagonalDown="0">
        <left/>
        <right style="medium">
          <color indexed="64"/>
        </right>
        <top/>
        <bottom/>
        <vertical/>
        <horizontal/>
      </border>
    </dxf>
    <dxf>
      <font>
        <strike val="0"/>
        <outline val="0"/>
        <shadow val="0"/>
        <u val="none"/>
        <vertAlign val="baseline"/>
        <sz val="11"/>
        <color rgb="FF0070C0"/>
        <name val="Calibri"/>
        <family val="2"/>
        <scheme val="minor"/>
      </font>
      <alignment horizontal="center" vertical="bottom" textRotation="0" wrapText="0" indent="0" justifyLastLine="0" shrinkToFit="0" readingOrder="0"/>
      <border diagonalUp="0" diagonalDown="0">
        <left style="medium">
          <color indexed="64"/>
        </left>
        <right/>
        <top/>
        <bottom/>
        <vertical/>
        <horizontal/>
      </border>
    </dxf>
    <dxf>
      <font>
        <strike val="0"/>
        <outline val="0"/>
        <shadow val="0"/>
        <u val="none"/>
        <vertAlign val="baseline"/>
        <sz val="11"/>
        <color rgb="FFC00000"/>
        <name val="Calibri"/>
        <family val="2"/>
        <scheme val="minor"/>
      </font>
      <alignment horizontal="center" vertical="bottom" textRotation="0" wrapText="0" indent="0" justifyLastLine="0" shrinkToFit="0" readingOrder="0"/>
      <border diagonalUp="0" diagonalDown="0">
        <left/>
        <right style="medium">
          <color indexed="64"/>
        </right>
        <top/>
        <bottom/>
        <vertical/>
        <horizontal/>
      </border>
    </dxf>
    <dxf>
      <font>
        <strike val="0"/>
        <outline val="0"/>
        <shadow val="0"/>
        <u val="none"/>
        <vertAlign val="baseline"/>
        <sz val="11"/>
        <color rgb="FF0070C0"/>
        <name val="Calibri"/>
      </font>
      <alignment horizontal="center" vertical="bottom" textRotation="0" wrapText="0" indent="0" justifyLastLine="0" shrinkToFit="0" readingOrder="0"/>
      <border diagonalUp="0" diagonalDown="0">
        <left style="medium">
          <color indexed="64"/>
        </left>
        <right/>
        <top/>
        <bottom/>
        <vertical/>
        <horizontal/>
      </border>
    </dxf>
    <dxf>
      <font>
        <strike val="0"/>
        <outline val="0"/>
        <shadow val="0"/>
        <u val="none"/>
        <vertAlign val="baseline"/>
        <sz val="11"/>
        <color rgb="FFC00000"/>
        <name val="Calibri"/>
      </font>
      <alignment horizontal="center" vertical="bottom" textRotation="0" wrapText="0" indent="0" justifyLastLine="0" shrinkToFit="0" readingOrder="0"/>
      <border diagonalUp="0" diagonalDown="0">
        <left/>
        <right style="medium">
          <color indexed="64"/>
        </right>
        <top/>
        <bottom/>
        <vertical/>
        <horizontal/>
      </border>
    </dxf>
    <dxf>
      <font>
        <strike val="0"/>
        <outline val="0"/>
        <shadow val="0"/>
        <u val="none"/>
        <vertAlign val="baseline"/>
        <sz val="11"/>
        <color rgb="FF0070C0"/>
        <name val="Calibri"/>
      </font>
      <alignment horizontal="center" vertical="bottom" textRotation="0" wrapText="0" indent="0" justifyLastLine="0" shrinkToFit="0" readingOrder="0"/>
      <border diagonalUp="0" diagonalDown="0">
        <left style="medium">
          <color indexed="64"/>
        </left>
        <right/>
        <top/>
        <bottom/>
        <vertical/>
        <horizontal/>
      </border>
    </dxf>
    <dxf>
      <font>
        <strike val="0"/>
        <outline val="0"/>
        <shadow val="0"/>
        <u val="none"/>
        <vertAlign val="baseline"/>
        <sz val="11"/>
        <color rgb="FFC00000"/>
        <name val="Calibri"/>
      </font>
      <alignment horizontal="center" vertical="bottom" textRotation="0" wrapText="0" indent="0" justifyLastLine="0" shrinkToFit="0" readingOrder="0"/>
      <border diagonalUp="0" diagonalDown="0">
        <left/>
        <right style="medium">
          <color indexed="64"/>
        </right>
        <top/>
        <bottom/>
        <vertical/>
        <horizontal/>
      </border>
    </dxf>
    <dxf>
      <font>
        <strike val="0"/>
        <outline val="0"/>
        <shadow val="0"/>
        <u val="none"/>
        <vertAlign val="baseline"/>
        <sz val="11"/>
        <color rgb="FF0070C0"/>
        <name val="Calibri"/>
      </font>
      <alignment horizontal="center" vertical="bottom" textRotation="0" wrapText="0" indent="0" justifyLastLine="0" shrinkToFit="0" readingOrder="0"/>
      <border diagonalUp="0" diagonalDown="0">
        <left style="medium">
          <color indexed="64"/>
        </left>
        <right/>
        <top/>
        <bottom/>
        <vertical/>
        <horizontal/>
      </border>
    </dxf>
    <dxf>
      <font>
        <strike val="0"/>
        <outline val="0"/>
        <shadow val="0"/>
        <u val="none"/>
        <vertAlign val="baseline"/>
        <sz val="11"/>
        <color rgb="FFC00000"/>
        <name val="Calibri"/>
      </font>
      <alignment horizontal="center" textRotation="0" indent="0" justifyLastLine="0" shrinkToFit="0" readingOrder="0"/>
      <border diagonalUp="0" diagonalDown="0">
        <left/>
        <right style="medium">
          <color indexed="64"/>
        </right>
        <top/>
        <bottom/>
        <vertical/>
        <horizontal/>
      </border>
    </dxf>
    <dxf>
      <font>
        <strike val="0"/>
        <outline val="0"/>
        <shadow val="0"/>
        <u val="none"/>
        <vertAlign val="baseline"/>
        <sz val="11"/>
        <color rgb="FF0070C0"/>
        <name val="Calibri"/>
      </font>
      <alignment horizontal="center" textRotation="0" indent="0" justifyLastLine="0" shrinkToFit="0" readingOrder="0"/>
      <border diagonalUp="0" diagonalDown="0">
        <left style="medium">
          <color indexed="64"/>
        </left>
        <right/>
        <top/>
        <bottom/>
        <vertical/>
        <horizontal/>
      </border>
    </dxf>
    <dxf>
      <font>
        <strike val="0"/>
        <outline val="0"/>
        <shadow val="0"/>
        <u val="none"/>
        <vertAlign val="baseline"/>
        <sz val="11"/>
        <color rgb="FFC00000"/>
        <name val="Calibri"/>
      </font>
      <alignment horizontal="center" textRotation="0" indent="0" justifyLastLine="0" shrinkToFit="0" readingOrder="0"/>
      <border diagonalUp="0" diagonalDown="0">
        <left/>
        <right style="medium">
          <color indexed="64"/>
        </right>
        <top/>
        <bottom/>
        <vertical/>
        <horizontal/>
      </border>
    </dxf>
    <dxf>
      <font>
        <strike val="0"/>
        <outline val="0"/>
        <shadow val="0"/>
        <u val="none"/>
        <vertAlign val="baseline"/>
        <sz val="11"/>
        <color rgb="FF0070C0"/>
        <name val="Calibri"/>
      </font>
      <alignment horizontal="center" textRotation="0" indent="0" justifyLastLine="0" shrinkToFit="0" readingOrder="0"/>
      <border diagonalUp="0" diagonalDown="0">
        <left style="medium">
          <color indexed="64"/>
        </left>
        <right/>
        <top/>
        <bottom/>
        <vertical/>
        <horizontal/>
      </border>
    </dxf>
    <dxf>
      <font>
        <strike val="0"/>
        <outline val="0"/>
        <shadow val="0"/>
        <u val="none"/>
        <vertAlign val="baseline"/>
        <sz val="11"/>
        <color rgb="FFC00000"/>
        <name val="Calibri"/>
      </font>
      <alignment horizontal="center" textRotation="0" indent="0" justifyLastLine="0" shrinkToFit="0" readingOrder="0"/>
      <border diagonalUp="0" diagonalDown="0">
        <left/>
        <right style="medium">
          <color indexed="64"/>
        </right>
        <top/>
        <bottom/>
        <vertical/>
        <horizontal/>
      </border>
    </dxf>
    <dxf>
      <font>
        <strike val="0"/>
        <outline val="0"/>
        <shadow val="0"/>
        <u val="none"/>
        <vertAlign val="baseline"/>
        <sz val="11"/>
        <color rgb="FF0070C0"/>
        <name val="Calibri"/>
      </font>
      <alignment horizontal="center" textRotation="0" indent="0" justifyLastLine="0" shrinkToFit="0" readingOrder="0"/>
      <border diagonalUp="0" diagonalDown="0">
        <left style="medium">
          <color indexed="64"/>
        </left>
        <right/>
        <top/>
        <bottom/>
        <vertical/>
        <horizontal/>
      </border>
    </dxf>
    <dxf>
      <font>
        <strike val="0"/>
        <outline val="0"/>
        <shadow val="0"/>
        <u val="none"/>
        <vertAlign val="baseline"/>
        <sz val="11"/>
        <color rgb="FFC00000"/>
        <name val="Calibri"/>
      </font>
      <alignment horizontal="center" textRotation="0" indent="0" justifyLastLine="0" shrinkToFit="0" readingOrder="0"/>
      <border diagonalUp="0" diagonalDown="0">
        <left/>
        <right style="medium">
          <color indexed="64"/>
        </right>
        <top/>
        <bottom/>
        <vertical/>
        <horizontal/>
      </border>
    </dxf>
    <dxf>
      <font>
        <strike val="0"/>
        <outline val="0"/>
        <shadow val="0"/>
        <u val="none"/>
        <vertAlign val="baseline"/>
        <sz val="11"/>
        <color rgb="FF0070C0"/>
        <name val="Calibri"/>
      </font>
      <alignment horizontal="center" textRotation="0" indent="0" justifyLastLine="0" shrinkToFit="0" readingOrder="0"/>
      <border diagonalUp="0" diagonalDown="0">
        <left style="medium">
          <color indexed="64"/>
        </left>
        <right/>
        <top/>
        <bottom/>
        <vertical/>
        <horizontal/>
      </border>
    </dxf>
    <dxf>
      <font>
        <strike val="0"/>
        <outline val="0"/>
        <shadow val="0"/>
        <u val="none"/>
        <vertAlign val="baseline"/>
        <sz val="11"/>
        <color rgb="FFC00000"/>
        <name val="Calibri"/>
      </font>
      <alignment horizontal="center" textRotation="0" indent="0" justifyLastLine="0" shrinkToFit="0" readingOrder="0"/>
      <border diagonalUp="0" diagonalDown="0">
        <left/>
        <right style="medium">
          <color indexed="64"/>
        </right>
        <top/>
        <bottom/>
        <vertical/>
        <horizontal/>
      </border>
    </dxf>
    <dxf>
      <font>
        <strike val="0"/>
        <outline val="0"/>
        <shadow val="0"/>
        <u val="none"/>
        <vertAlign val="baseline"/>
        <sz val="11"/>
        <color rgb="FF0070C0"/>
        <name val="Calibri"/>
      </font>
      <alignment horizontal="center" textRotation="0" indent="0" justifyLastLine="0" shrinkToFit="0" readingOrder="0"/>
      <border diagonalUp="0" diagonalDown="0">
        <left style="medium">
          <color indexed="64"/>
        </left>
        <right/>
        <top/>
        <bottom/>
        <vertical/>
        <horizontal/>
      </border>
    </dxf>
    <dxf>
      <font>
        <strike val="0"/>
        <outline val="0"/>
        <shadow val="0"/>
        <u val="none"/>
        <vertAlign val="baseline"/>
        <sz val="11"/>
        <color rgb="FFC00000"/>
        <name val="Calibri"/>
        <family val="2"/>
      </font>
      <alignment horizontal="center" textRotation="0" indent="0" justifyLastLine="0" shrinkToFit="0" readingOrder="0"/>
      <border diagonalUp="0" diagonalDown="0">
        <left/>
        <right style="medium">
          <color indexed="64"/>
        </right>
        <top/>
        <bottom/>
        <vertical/>
        <horizontal/>
      </border>
    </dxf>
    <dxf>
      <font>
        <strike val="0"/>
        <outline val="0"/>
        <shadow val="0"/>
        <u val="none"/>
        <vertAlign val="baseline"/>
        <sz val="11"/>
        <color rgb="FF0070C0"/>
        <name val="Calibri"/>
        <family val="2"/>
      </font>
      <alignment horizontal="center" textRotation="0" indent="0" justifyLastLine="0" shrinkToFit="0" readingOrder="0"/>
      <border diagonalUp="0" diagonalDown="0">
        <left style="medium">
          <color indexed="64"/>
        </left>
        <right/>
        <top/>
        <bottom/>
        <vertical/>
        <horizontal/>
      </border>
    </dxf>
    <dxf>
      <alignment horizontal="center" vertical="bottom" textRotation="0" wrapText="0" indent="0" justifyLastLine="0" shrinkToFit="0" readingOrder="0"/>
    </dxf>
    <dxf>
      <font>
        <b val="0"/>
      </font>
      <alignment horizontal="center" vertical="bottom" textRotation="0" wrapText="0" indent="0" justifyLastLine="0" shrinkToFit="0" readingOrder="0"/>
    </dxf>
    <dxf>
      <font>
        <b/>
      </font>
      <alignment horizontal="left" vertical="bottom" textRotation="0" wrapText="0" indent="0" justifyLastLine="0" shrinkToFit="0" readingOrder="0"/>
    </dxf>
    <dxf>
      <alignment horizontal="center" textRotation="0" indent="0" justifyLastLine="0" shrinkToFit="0" readingOrder="0"/>
    </dxf>
    <dxf>
      <alignment horizontal="center" textRotation="0" indent="0" justifyLastLine="0" shrinkToFit="0" readingOrder="0"/>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theme="0"/>
        <name val="Calibri"/>
        <family val="2"/>
        <scheme val="minor"/>
      </font>
    </dxf>
    <dxf>
      <font>
        <b/>
        <i val="0"/>
        <strike val="0"/>
        <condense val="0"/>
        <extend val="0"/>
        <outline val="0"/>
        <shadow val="0"/>
        <u val="none"/>
        <vertAlign val="baseline"/>
        <sz val="11"/>
        <color theme="1"/>
        <name val="Calibri"/>
        <family val="2"/>
        <scheme val="minor"/>
      </font>
      <fill>
        <patternFill patternType="solid">
          <fgColor indexed="64"/>
          <bgColor theme="9" tint="0.79998168889431442"/>
        </patternFill>
      </fill>
      <alignment horizontal="center" vertical="center" textRotation="0" wrapText="0" indent="0" justifyLastLine="0" shrinkToFit="0" readingOrder="0"/>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alignment textRotation="0" wrapText="1" indent="0" justifyLastLine="0" shrinkToFit="0" readingOrder="0"/>
    </dxf>
    <dxf>
      <font>
        <b val="0"/>
        <i val="0"/>
        <strike val="0"/>
        <condense val="0"/>
        <extend val="0"/>
        <outline val="0"/>
        <shadow val="0"/>
        <u val="none"/>
        <vertAlign val="baseline"/>
        <sz val="11"/>
        <color theme="0"/>
        <name val="Calibri"/>
        <family val="2"/>
        <scheme val="minor"/>
      </font>
      <alignment horizontal="general" vertical="bottom" textRotation="0" wrapText="1" indent="0" justifyLastLine="0" shrinkToFit="0" readingOrder="0"/>
    </dxf>
    <dxf>
      <border outline="0">
        <top style="thin">
          <color indexed="64"/>
        </top>
      </border>
    </dxf>
    <dxf>
      <font>
        <b val="0"/>
        <i val="0"/>
        <strike val="0"/>
        <condense val="0"/>
        <extend val="0"/>
        <outline val="0"/>
        <shadow val="0"/>
        <u val="none"/>
        <vertAlign val="baseline"/>
        <sz val="11"/>
        <color theme="0"/>
        <name val="Calibri"/>
        <family val="2"/>
        <scheme val="minor"/>
      </font>
    </dxf>
    <dxf>
      <border outline="0">
        <bottom style="thin">
          <color indexed="64"/>
        </bottom>
      </border>
    </dxf>
    <dxf>
      <font>
        <strike val="0"/>
        <outline val="0"/>
        <shadow val="0"/>
        <u val="none"/>
        <vertAlign val="baseline"/>
        <sz val="11"/>
        <color theme="1"/>
        <name val="Calibri"/>
        <family val="2"/>
        <scheme val="minor"/>
      </font>
    </dxf>
  </dxfs>
  <tableStyles count="0" defaultTableStyle="TableStyleMedium2" defaultPivotStyle="PivotStyleLight16"/>
  <colors>
    <mruColors>
      <color rgb="FF53E3D5"/>
      <color rgb="FFA13700"/>
      <color rgb="FFFBB123"/>
      <color rgb="FF29140C"/>
      <color rgb="FF3A1D11"/>
      <color rgb="FF4C2918"/>
      <color rgb="FFE9D76C"/>
      <color rgb="FF1E0204"/>
      <color rgb="FFFFBF42"/>
      <color rgb="FFFFD87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20" Type="http://schemas.microsoft.com/office/2017/10/relationships/person" Target="persons/perso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charts/_rels/chart2.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9.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12.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1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16.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17.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30866108265979919"/>
          <c:y val="0.16388071673485402"/>
          <c:w val="0.48754972538743185"/>
          <c:h val="0.70009239724874106"/>
        </c:manualLayout>
      </c:layout>
      <c:radarChart>
        <c:radarStyle val="marker"/>
        <c:varyColors val="0"/>
        <c:ser>
          <c:idx val="2"/>
          <c:order val="0"/>
          <c:marker>
            <c:symbol val="none"/>
          </c:marker>
          <c:cat>
            <c:strRef>
              <c:f>SMASH!$R$3:$W$3</c:f>
              <c:strCache>
                <c:ptCount val="6"/>
                <c:pt idx="0">
                  <c:v>Cl</c:v>
                </c:pt>
                <c:pt idx="1">
                  <c:v>SO4</c:v>
                </c:pt>
                <c:pt idx="2">
                  <c:v>Ca</c:v>
                </c:pt>
                <c:pt idx="3">
                  <c:v>Mg</c:v>
                </c:pt>
                <c:pt idx="4">
                  <c:v>Na</c:v>
                </c:pt>
                <c:pt idx="5">
                  <c:v>HCO3</c:v>
                </c:pt>
              </c:strCache>
            </c:strRef>
          </c:cat>
          <c:val>
            <c:numRef>
              <c:f>SMASH!$R$5:$W$5</c:f>
              <c:numCache>
                <c:formatCode>###" mg/L"</c:formatCode>
                <c:ptCount val="6"/>
                <c:pt idx="0">
                  <c:v>33</c:v>
                </c:pt>
                <c:pt idx="1">
                  <c:v>60</c:v>
                </c:pt>
                <c:pt idx="2">
                  <c:v>63</c:v>
                </c:pt>
                <c:pt idx="3">
                  <c:v>26</c:v>
                </c:pt>
                <c:pt idx="4">
                  <c:v>99</c:v>
                </c:pt>
                <c:pt idx="5">
                  <c:v>493</c:v>
                </c:pt>
              </c:numCache>
            </c:numRef>
          </c:val>
          <c:extLst>
            <c:ext xmlns:c16="http://schemas.microsoft.com/office/drawing/2014/chart" uri="{C3380CC4-5D6E-409C-BE32-E72D297353CC}">
              <c16:uniqueId val="{00000000-FD8A-4D5C-9F1D-7B3610927CFB}"/>
            </c:ext>
          </c:extLst>
        </c:ser>
        <c:ser>
          <c:idx val="3"/>
          <c:order val="1"/>
          <c:spPr>
            <a:ln w="28575" cap="rnd">
              <a:solidFill>
                <a:schemeClr val="accent1"/>
              </a:solidFill>
              <a:round/>
            </a:ln>
            <a:effectLst/>
          </c:spPr>
          <c:marker>
            <c:symbol val="none"/>
          </c:marker>
          <c:cat>
            <c:strRef>
              <c:f>SMASH!$R$3:$W$3</c:f>
              <c:strCache>
                <c:ptCount val="6"/>
                <c:pt idx="0">
                  <c:v>Cl</c:v>
                </c:pt>
                <c:pt idx="1">
                  <c:v>SO4</c:v>
                </c:pt>
                <c:pt idx="2">
                  <c:v>Ca</c:v>
                </c:pt>
                <c:pt idx="3">
                  <c:v>Mg</c:v>
                </c:pt>
                <c:pt idx="4">
                  <c:v>Na</c:v>
                </c:pt>
                <c:pt idx="5">
                  <c:v>HCO3</c:v>
                </c:pt>
              </c:strCache>
            </c:strRef>
          </c:cat>
          <c:val>
            <c:numRef>
              <c:f>SMASH!$R$8:$W$8</c:f>
              <c:numCache>
                <c:formatCode>General</c:formatCode>
                <c:ptCount val="6"/>
                <c:pt idx="0">
                  <c:v>0</c:v>
                </c:pt>
                <c:pt idx="1">
                  <c:v>0</c:v>
                </c:pt>
                <c:pt idx="2">
                  <c:v>0</c:v>
                </c:pt>
                <c:pt idx="3">
                  <c:v>0</c:v>
                </c:pt>
                <c:pt idx="4">
                  <c:v>0</c:v>
                </c:pt>
                <c:pt idx="5">
                  <c:v>0</c:v>
                </c:pt>
              </c:numCache>
            </c:numRef>
          </c:val>
          <c:extLst>
            <c:ext xmlns:c16="http://schemas.microsoft.com/office/drawing/2014/chart" uri="{C3380CC4-5D6E-409C-BE32-E72D297353CC}">
              <c16:uniqueId val="{00000001-FD8A-4D5C-9F1D-7B3610927CFB}"/>
            </c:ext>
          </c:extLst>
        </c:ser>
        <c:ser>
          <c:idx val="1"/>
          <c:order val="2"/>
          <c:marker>
            <c:symbol val="none"/>
          </c:marker>
          <c:cat>
            <c:strRef>
              <c:f>SMASH!$R$3:$W$3</c:f>
              <c:strCache>
                <c:ptCount val="6"/>
                <c:pt idx="0">
                  <c:v>Cl</c:v>
                </c:pt>
                <c:pt idx="1">
                  <c:v>SO4</c:v>
                </c:pt>
                <c:pt idx="2">
                  <c:v>Ca</c:v>
                </c:pt>
                <c:pt idx="3">
                  <c:v>Mg</c:v>
                </c:pt>
                <c:pt idx="4">
                  <c:v>Na</c:v>
                </c:pt>
                <c:pt idx="5">
                  <c:v>HCO3</c:v>
                </c:pt>
              </c:strCache>
            </c:strRef>
          </c:cat>
          <c:val>
            <c:numRef>
              <c:f>SMASH!$R$5:$W$5</c:f>
              <c:numCache>
                <c:formatCode>###" mg/L"</c:formatCode>
                <c:ptCount val="6"/>
                <c:pt idx="0">
                  <c:v>33</c:v>
                </c:pt>
                <c:pt idx="1">
                  <c:v>60</c:v>
                </c:pt>
                <c:pt idx="2">
                  <c:v>63</c:v>
                </c:pt>
                <c:pt idx="3">
                  <c:v>26</c:v>
                </c:pt>
                <c:pt idx="4">
                  <c:v>99</c:v>
                </c:pt>
                <c:pt idx="5">
                  <c:v>493</c:v>
                </c:pt>
              </c:numCache>
            </c:numRef>
          </c:val>
          <c:extLst>
            <c:ext xmlns:c16="http://schemas.microsoft.com/office/drawing/2014/chart" uri="{C3380CC4-5D6E-409C-BE32-E72D297353CC}">
              <c16:uniqueId val="{00000002-FD8A-4D5C-9F1D-7B3610927CFB}"/>
            </c:ext>
          </c:extLst>
        </c:ser>
        <c:ser>
          <c:idx val="0"/>
          <c:order val="3"/>
          <c:spPr>
            <a:ln w="28575" cap="rnd">
              <a:solidFill>
                <a:schemeClr val="accent1"/>
              </a:solidFill>
              <a:round/>
            </a:ln>
            <a:effectLst/>
          </c:spPr>
          <c:marker>
            <c:symbol val="none"/>
          </c:marker>
          <c:cat>
            <c:strRef>
              <c:f>SMASH!$R$3:$W$3</c:f>
              <c:strCache>
                <c:ptCount val="6"/>
                <c:pt idx="0">
                  <c:v>Cl</c:v>
                </c:pt>
                <c:pt idx="1">
                  <c:v>SO4</c:v>
                </c:pt>
                <c:pt idx="2">
                  <c:v>Ca</c:v>
                </c:pt>
                <c:pt idx="3">
                  <c:v>Mg</c:v>
                </c:pt>
                <c:pt idx="4">
                  <c:v>Na</c:v>
                </c:pt>
                <c:pt idx="5">
                  <c:v>HCO3</c:v>
                </c:pt>
              </c:strCache>
            </c:strRef>
          </c:cat>
          <c:val>
            <c:numRef>
              <c:f>SMASH!$R$9:$W$9</c:f>
              <c:numCache>
                <c:formatCode>General</c:formatCode>
                <c:ptCount val="6"/>
                <c:pt idx="0">
                  <c:v>0</c:v>
                </c:pt>
                <c:pt idx="1">
                  <c:v>0</c:v>
                </c:pt>
                <c:pt idx="2">
                  <c:v>0</c:v>
                </c:pt>
                <c:pt idx="3">
                  <c:v>0</c:v>
                </c:pt>
                <c:pt idx="4">
                  <c:v>0</c:v>
                </c:pt>
                <c:pt idx="5">
                  <c:v>0</c:v>
                </c:pt>
              </c:numCache>
            </c:numRef>
          </c:val>
          <c:extLst>
            <c:ext xmlns:c16="http://schemas.microsoft.com/office/drawing/2014/chart" uri="{C3380CC4-5D6E-409C-BE32-E72D297353CC}">
              <c16:uniqueId val="{00000003-FD8A-4D5C-9F1D-7B3610927CFB}"/>
            </c:ext>
          </c:extLst>
        </c:ser>
        <c:dLbls>
          <c:showLegendKey val="0"/>
          <c:showVal val="0"/>
          <c:showCatName val="0"/>
          <c:showSerName val="0"/>
          <c:showPercent val="0"/>
          <c:showBubbleSize val="0"/>
        </c:dLbls>
        <c:axId val="1984193183"/>
        <c:axId val="1984194143"/>
      </c:radarChart>
      <c:catAx>
        <c:axId val="19841931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984194143"/>
        <c:crosses val="autoZero"/>
        <c:auto val="1"/>
        <c:lblAlgn val="ctr"/>
        <c:lblOffset val="100"/>
        <c:noMultiLvlLbl val="0"/>
      </c:catAx>
      <c:valAx>
        <c:axId val="1984194143"/>
        <c:scaling>
          <c:orientation val="minMax"/>
        </c:scaling>
        <c:delete val="1"/>
        <c:axPos val="l"/>
        <c:majorGridlines>
          <c:spPr>
            <a:ln w="9525" cap="flat" cmpd="sng" algn="ctr">
              <a:solidFill>
                <a:schemeClr val="tx1">
                  <a:lumMod val="15000"/>
                  <a:lumOff val="85000"/>
                </a:schemeClr>
              </a:solidFill>
              <a:round/>
            </a:ln>
            <a:effectLst/>
          </c:spPr>
        </c:majorGridlines>
        <c:numFmt formatCode="###&quot; mg/L&quot;" sourceLinked="1"/>
        <c:majorTickMark val="none"/>
        <c:minorTickMark val="none"/>
        <c:tickLblPos val="nextTo"/>
        <c:crossAx val="1984193183"/>
        <c:crosses val="autoZero"/>
        <c:crossBetween val="between"/>
      </c:valAx>
    </c:plotArea>
    <c:plotVisOnly val="1"/>
    <c:dispBlanksAs val="gap"/>
    <c:showDLblsOverMax val="0"/>
    <c:extLst/>
  </c:chart>
  <c:txPr>
    <a:bodyPr/>
    <a:lstStyle/>
    <a:p>
      <a:pPr>
        <a:defRPr/>
      </a:pPr>
      <a:endParaRPr lang="fr-FR"/>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80070799382322"/>
          <c:y val="0.13012903387766886"/>
          <c:w val="0.42927224256315127"/>
          <c:h val="0.73974193224466234"/>
        </c:manualLayout>
      </c:layout>
      <c:radarChart>
        <c:radarStyle val="marker"/>
        <c:varyColors val="0"/>
        <c:ser>
          <c:idx val="0"/>
          <c:order val="0"/>
          <c:spPr>
            <a:ln w="28575" cap="rnd">
              <a:solidFill>
                <a:schemeClr val="accent1"/>
              </a:solidFill>
              <a:round/>
            </a:ln>
            <a:effectLst/>
          </c:spPr>
          <c:marker>
            <c:symbol val="none"/>
          </c:marker>
          <c:cat>
            <c:numRef>
              <c:f>FAUVE!$R$10:$W$10</c:f>
              <c:numCache>
                <c:formatCode>General</c:formatCode>
                <c:ptCount val="6"/>
              </c:numCache>
            </c:numRef>
          </c:cat>
          <c:val>
            <c:numRef>
              <c:f>FAUVE!$R$11:$W$11</c:f>
              <c:numCache>
                <c:formatCode>General</c:formatCode>
                <c:ptCount val="6"/>
              </c:numCache>
            </c:numRef>
          </c:val>
          <c:extLst>
            <c:ext xmlns:c16="http://schemas.microsoft.com/office/drawing/2014/chart" uri="{C3380CC4-5D6E-409C-BE32-E72D297353CC}">
              <c16:uniqueId val="{00000000-E0A2-4C47-91BD-D85C5CB9FDD5}"/>
            </c:ext>
          </c:extLst>
        </c:ser>
        <c:dLbls>
          <c:showLegendKey val="0"/>
          <c:showVal val="0"/>
          <c:showCatName val="0"/>
          <c:showSerName val="0"/>
          <c:showPercent val="0"/>
          <c:showBubbleSize val="0"/>
        </c:dLbls>
        <c:axId val="1984193183"/>
        <c:axId val="1984194143"/>
      </c:radarChart>
      <c:catAx>
        <c:axId val="19841931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984194143"/>
        <c:crosses val="autoZero"/>
        <c:auto val="1"/>
        <c:lblAlgn val="ctr"/>
        <c:lblOffset val="100"/>
        <c:noMultiLvlLbl val="0"/>
      </c:catAx>
      <c:valAx>
        <c:axId val="1984194143"/>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984193183"/>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30866108265979919"/>
          <c:y val="0.16388071673485402"/>
          <c:w val="0.48754972538743185"/>
          <c:h val="0.70009239724874106"/>
        </c:manualLayout>
      </c:layout>
      <c:radarChart>
        <c:radarStyle val="marker"/>
        <c:varyColors val="0"/>
        <c:ser>
          <c:idx val="2"/>
          <c:order val="0"/>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0-1971-4E1A-9AFA-DAFF5F7B8837}"/>
            </c:ext>
          </c:extLst>
        </c:ser>
        <c:ser>
          <c:idx val="3"/>
          <c:order val="1"/>
          <c:spPr>
            <a:ln w="28575" cap="rnd">
              <a:solidFill>
                <a:schemeClr val="accent1"/>
              </a:solidFill>
              <a:round/>
            </a:ln>
            <a:effectLst/>
          </c:spPr>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1-1971-4E1A-9AFA-DAFF5F7B8837}"/>
            </c:ext>
          </c:extLst>
        </c:ser>
        <c:ser>
          <c:idx val="1"/>
          <c:order val="2"/>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2-1971-4E1A-9AFA-DAFF5F7B8837}"/>
            </c:ext>
          </c:extLst>
        </c:ser>
        <c:ser>
          <c:idx val="0"/>
          <c:order val="3"/>
          <c:spPr>
            <a:ln w="28575" cap="rnd">
              <a:solidFill>
                <a:schemeClr val="accent1"/>
              </a:solidFill>
              <a:round/>
            </a:ln>
            <a:effectLst/>
          </c:spPr>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3-1971-4E1A-9AFA-DAFF5F7B8837}"/>
            </c:ext>
          </c:extLst>
        </c:ser>
        <c:dLbls>
          <c:showLegendKey val="0"/>
          <c:showVal val="0"/>
          <c:showCatName val="0"/>
          <c:showSerName val="0"/>
          <c:showPercent val="0"/>
          <c:showBubbleSize val="0"/>
        </c:dLbls>
        <c:axId val="1984193183"/>
        <c:axId val="1984194143"/>
      </c:radarChart>
      <c:catAx>
        <c:axId val="19841931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984194143"/>
        <c:crosses val="autoZero"/>
        <c:auto val="1"/>
        <c:lblAlgn val="ctr"/>
        <c:lblOffset val="100"/>
        <c:noMultiLvlLbl val="0"/>
      </c:catAx>
      <c:valAx>
        <c:axId val="1984194143"/>
        <c:scaling>
          <c:orientation val="minMax"/>
        </c:scaling>
        <c:delete val="1"/>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crossAx val="1984193183"/>
        <c:crosses val="autoZero"/>
        <c:crossBetween val="between"/>
      </c:valAx>
    </c:plotArea>
    <c:plotVisOnly val="1"/>
    <c:dispBlanksAs val="gap"/>
    <c:showDLblsOverMax val="0"/>
    <c:extLst/>
  </c:chart>
  <c:txPr>
    <a:bodyPr/>
    <a:lstStyle/>
    <a:p>
      <a:pPr>
        <a:defRPr/>
      </a:pPr>
      <a:endParaRPr lang="fr-FR"/>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30866108265979919"/>
          <c:y val="0.16388071673485402"/>
          <c:w val="0.48754972538743185"/>
          <c:h val="0.70009239724874106"/>
        </c:manualLayout>
      </c:layout>
      <c:radarChart>
        <c:radarStyle val="marker"/>
        <c:varyColors val="0"/>
        <c:ser>
          <c:idx val="2"/>
          <c:order val="0"/>
          <c:marker>
            <c:symbol val="none"/>
          </c:marker>
          <c:cat>
            <c:strRef>
              <c:f>ChouffLeurre!$R$3:$W$3</c:f>
              <c:strCache>
                <c:ptCount val="6"/>
                <c:pt idx="0">
                  <c:v>Cl</c:v>
                </c:pt>
                <c:pt idx="1">
                  <c:v>SO4</c:v>
                </c:pt>
                <c:pt idx="2">
                  <c:v>Ca</c:v>
                </c:pt>
                <c:pt idx="3">
                  <c:v>Mg</c:v>
                </c:pt>
                <c:pt idx="4">
                  <c:v>Na</c:v>
                </c:pt>
                <c:pt idx="5">
                  <c:v>HCO3</c:v>
                </c:pt>
              </c:strCache>
            </c:strRef>
          </c:cat>
          <c:val>
            <c:numRef>
              <c:f>ChouffLeurre!$R$5:$W$5</c:f>
              <c:numCache>
                <c:formatCode>###" mg/L"</c:formatCode>
                <c:ptCount val="6"/>
                <c:pt idx="0">
                  <c:v>56.9</c:v>
                </c:pt>
                <c:pt idx="1">
                  <c:v>149.5</c:v>
                </c:pt>
                <c:pt idx="2">
                  <c:v>115.9</c:v>
                </c:pt>
                <c:pt idx="3">
                  <c:v>18.600000000000001</c:v>
                </c:pt>
                <c:pt idx="4">
                  <c:v>41.5</c:v>
                </c:pt>
                <c:pt idx="5">
                  <c:v>308.2</c:v>
                </c:pt>
              </c:numCache>
            </c:numRef>
          </c:val>
          <c:extLst>
            <c:ext xmlns:c16="http://schemas.microsoft.com/office/drawing/2014/chart" uri="{C3380CC4-5D6E-409C-BE32-E72D297353CC}">
              <c16:uniqueId val="{00000000-EE54-4245-8D88-25EC585AE6D3}"/>
            </c:ext>
          </c:extLst>
        </c:ser>
        <c:ser>
          <c:idx val="3"/>
          <c:order val="1"/>
          <c:spPr>
            <a:ln w="28575" cap="rnd">
              <a:solidFill>
                <a:schemeClr val="accent1"/>
              </a:solidFill>
              <a:round/>
            </a:ln>
            <a:effectLst/>
          </c:spPr>
          <c:marker>
            <c:symbol val="none"/>
          </c:marker>
          <c:cat>
            <c:strRef>
              <c:f>ChouffLeurre!$R$3:$W$3</c:f>
              <c:strCache>
                <c:ptCount val="6"/>
                <c:pt idx="0">
                  <c:v>Cl</c:v>
                </c:pt>
                <c:pt idx="1">
                  <c:v>SO4</c:v>
                </c:pt>
                <c:pt idx="2">
                  <c:v>Ca</c:v>
                </c:pt>
                <c:pt idx="3">
                  <c:v>Mg</c:v>
                </c:pt>
                <c:pt idx="4">
                  <c:v>Na</c:v>
                </c:pt>
                <c:pt idx="5">
                  <c:v>HCO3</c:v>
                </c:pt>
              </c:strCache>
            </c:strRef>
          </c:cat>
          <c:val>
            <c:numRef>
              <c:f>ChouffLeurre!$R$8:$W$8</c:f>
              <c:numCache>
                <c:formatCode>General</c:formatCode>
                <c:ptCount val="6"/>
                <c:pt idx="0">
                  <c:v>0</c:v>
                </c:pt>
                <c:pt idx="1">
                  <c:v>0</c:v>
                </c:pt>
                <c:pt idx="2">
                  <c:v>0</c:v>
                </c:pt>
                <c:pt idx="3">
                  <c:v>0</c:v>
                </c:pt>
                <c:pt idx="4">
                  <c:v>0</c:v>
                </c:pt>
                <c:pt idx="5">
                  <c:v>0</c:v>
                </c:pt>
              </c:numCache>
            </c:numRef>
          </c:val>
          <c:extLst>
            <c:ext xmlns:c16="http://schemas.microsoft.com/office/drawing/2014/chart" uri="{C3380CC4-5D6E-409C-BE32-E72D297353CC}">
              <c16:uniqueId val="{00000001-EE54-4245-8D88-25EC585AE6D3}"/>
            </c:ext>
          </c:extLst>
        </c:ser>
        <c:ser>
          <c:idx val="1"/>
          <c:order val="2"/>
          <c:marker>
            <c:symbol val="none"/>
          </c:marker>
          <c:cat>
            <c:strRef>
              <c:f>ChouffLeurre!$R$3:$W$3</c:f>
              <c:strCache>
                <c:ptCount val="6"/>
                <c:pt idx="0">
                  <c:v>Cl</c:v>
                </c:pt>
                <c:pt idx="1">
                  <c:v>SO4</c:v>
                </c:pt>
                <c:pt idx="2">
                  <c:v>Ca</c:v>
                </c:pt>
                <c:pt idx="3">
                  <c:v>Mg</c:v>
                </c:pt>
                <c:pt idx="4">
                  <c:v>Na</c:v>
                </c:pt>
                <c:pt idx="5">
                  <c:v>HCO3</c:v>
                </c:pt>
              </c:strCache>
            </c:strRef>
          </c:cat>
          <c:val>
            <c:numRef>
              <c:f>ChouffLeurre!$R$5:$W$5</c:f>
              <c:numCache>
                <c:formatCode>###" mg/L"</c:formatCode>
                <c:ptCount val="6"/>
                <c:pt idx="0">
                  <c:v>56.9</c:v>
                </c:pt>
                <c:pt idx="1">
                  <c:v>149.5</c:v>
                </c:pt>
                <c:pt idx="2">
                  <c:v>115.9</c:v>
                </c:pt>
                <c:pt idx="3">
                  <c:v>18.600000000000001</c:v>
                </c:pt>
                <c:pt idx="4">
                  <c:v>41.5</c:v>
                </c:pt>
                <c:pt idx="5">
                  <c:v>308.2</c:v>
                </c:pt>
              </c:numCache>
            </c:numRef>
          </c:val>
          <c:extLst>
            <c:ext xmlns:c16="http://schemas.microsoft.com/office/drawing/2014/chart" uri="{C3380CC4-5D6E-409C-BE32-E72D297353CC}">
              <c16:uniqueId val="{00000002-EE54-4245-8D88-25EC585AE6D3}"/>
            </c:ext>
          </c:extLst>
        </c:ser>
        <c:ser>
          <c:idx val="0"/>
          <c:order val="3"/>
          <c:spPr>
            <a:ln w="28575" cap="rnd">
              <a:solidFill>
                <a:schemeClr val="accent1"/>
              </a:solidFill>
              <a:round/>
            </a:ln>
            <a:effectLst/>
          </c:spPr>
          <c:marker>
            <c:symbol val="none"/>
          </c:marker>
          <c:cat>
            <c:strRef>
              <c:f>ChouffLeurre!$R$3:$W$3</c:f>
              <c:strCache>
                <c:ptCount val="6"/>
                <c:pt idx="0">
                  <c:v>Cl</c:v>
                </c:pt>
                <c:pt idx="1">
                  <c:v>SO4</c:v>
                </c:pt>
                <c:pt idx="2">
                  <c:v>Ca</c:v>
                </c:pt>
                <c:pt idx="3">
                  <c:v>Mg</c:v>
                </c:pt>
                <c:pt idx="4">
                  <c:v>Na</c:v>
                </c:pt>
                <c:pt idx="5">
                  <c:v>HCO3</c:v>
                </c:pt>
              </c:strCache>
            </c:strRef>
          </c:cat>
          <c:val>
            <c:numRef>
              <c:f>ChouffLeurre!$R$9:$W$9</c:f>
              <c:numCache>
                <c:formatCode>General</c:formatCode>
                <c:ptCount val="6"/>
                <c:pt idx="0">
                  <c:v>0</c:v>
                </c:pt>
                <c:pt idx="1">
                  <c:v>0</c:v>
                </c:pt>
                <c:pt idx="2">
                  <c:v>0</c:v>
                </c:pt>
                <c:pt idx="3">
                  <c:v>0</c:v>
                </c:pt>
                <c:pt idx="4">
                  <c:v>0</c:v>
                </c:pt>
                <c:pt idx="5">
                  <c:v>0</c:v>
                </c:pt>
              </c:numCache>
            </c:numRef>
          </c:val>
          <c:extLst>
            <c:ext xmlns:c16="http://schemas.microsoft.com/office/drawing/2014/chart" uri="{C3380CC4-5D6E-409C-BE32-E72D297353CC}">
              <c16:uniqueId val="{00000003-EE54-4245-8D88-25EC585AE6D3}"/>
            </c:ext>
          </c:extLst>
        </c:ser>
        <c:dLbls>
          <c:showLegendKey val="0"/>
          <c:showVal val="0"/>
          <c:showCatName val="0"/>
          <c:showSerName val="0"/>
          <c:showPercent val="0"/>
          <c:showBubbleSize val="0"/>
        </c:dLbls>
        <c:axId val="1984193183"/>
        <c:axId val="1984194143"/>
      </c:radarChart>
      <c:catAx>
        <c:axId val="19841931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984194143"/>
        <c:crosses val="autoZero"/>
        <c:auto val="1"/>
        <c:lblAlgn val="ctr"/>
        <c:lblOffset val="100"/>
        <c:noMultiLvlLbl val="0"/>
      </c:catAx>
      <c:valAx>
        <c:axId val="1984194143"/>
        <c:scaling>
          <c:orientation val="minMax"/>
        </c:scaling>
        <c:delete val="1"/>
        <c:axPos val="l"/>
        <c:majorGridlines>
          <c:spPr>
            <a:ln w="9525" cap="flat" cmpd="sng" algn="ctr">
              <a:solidFill>
                <a:schemeClr val="tx1">
                  <a:lumMod val="15000"/>
                  <a:lumOff val="85000"/>
                </a:schemeClr>
              </a:solidFill>
              <a:round/>
            </a:ln>
            <a:effectLst/>
          </c:spPr>
        </c:majorGridlines>
        <c:numFmt formatCode="###&quot; mg/L&quot;" sourceLinked="1"/>
        <c:majorTickMark val="none"/>
        <c:minorTickMark val="none"/>
        <c:tickLblPos val="nextTo"/>
        <c:crossAx val="1984193183"/>
        <c:crosses val="autoZero"/>
        <c:crossBetween val="between"/>
      </c:valAx>
    </c:plotArea>
    <c:plotVisOnly val="1"/>
    <c:dispBlanksAs val="gap"/>
    <c:showDLblsOverMax val="0"/>
    <c:extLst/>
  </c:chart>
  <c:txPr>
    <a:bodyPr/>
    <a:lstStyle/>
    <a:p>
      <a:pPr>
        <a:defRPr/>
      </a:pPr>
      <a:endParaRPr lang="fr-FR"/>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30866108265979919"/>
          <c:y val="0.16388071673485402"/>
          <c:w val="0.48754972538743185"/>
          <c:h val="0.70009239724874106"/>
        </c:manualLayout>
      </c:layout>
      <c:radarChart>
        <c:radarStyle val="marker"/>
        <c:varyColors val="0"/>
        <c:ser>
          <c:idx val="2"/>
          <c:order val="0"/>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0-56AE-4D4D-99E8-A3B84E5387F6}"/>
            </c:ext>
          </c:extLst>
        </c:ser>
        <c:ser>
          <c:idx val="3"/>
          <c:order val="1"/>
          <c:spPr>
            <a:ln w="28575" cap="rnd">
              <a:solidFill>
                <a:schemeClr val="accent1"/>
              </a:solidFill>
              <a:round/>
            </a:ln>
            <a:effectLst/>
          </c:spPr>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1-56AE-4D4D-99E8-A3B84E5387F6}"/>
            </c:ext>
          </c:extLst>
        </c:ser>
        <c:ser>
          <c:idx val="1"/>
          <c:order val="2"/>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2-56AE-4D4D-99E8-A3B84E5387F6}"/>
            </c:ext>
          </c:extLst>
        </c:ser>
        <c:ser>
          <c:idx val="0"/>
          <c:order val="3"/>
          <c:spPr>
            <a:ln w="28575" cap="rnd">
              <a:solidFill>
                <a:schemeClr val="accent1"/>
              </a:solidFill>
              <a:round/>
            </a:ln>
            <a:effectLst/>
          </c:spPr>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3-56AE-4D4D-99E8-A3B84E5387F6}"/>
            </c:ext>
          </c:extLst>
        </c:ser>
        <c:dLbls>
          <c:showLegendKey val="0"/>
          <c:showVal val="0"/>
          <c:showCatName val="0"/>
          <c:showSerName val="0"/>
          <c:showPercent val="0"/>
          <c:showBubbleSize val="0"/>
        </c:dLbls>
        <c:axId val="1984193183"/>
        <c:axId val="1984194143"/>
      </c:radarChart>
      <c:catAx>
        <c:axId val="19841931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984194143"/>
        <c:crosses val="autoZero"/>
        <c:auto val="1"/>
        <c:lblAlgn val="ctr"/>
        <c:lblOffset val="100"/>
        <c:noMultiLvlLbl val="0"/>
      </c:catAx>
      <c:valAx>
        <c:axId val="1984194143"/>
        <c:scaling>
          <c:orientation val="minMax"/>
        </c:scaling>
        <c:delete val="1"/>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crossAx val="1984193183"/>
        <c:crosses val="autoZero"/>
        <c:crossBetween val="between"/>
      </c:valAx>
    </c:plotArea>
    <c:plotVisOnly val="1"/>
    <c:dispBlanksAs val="gap"/>
    <c:showDLblsOverMax val="0"/>
    <c:extLst/>
  </c:chart>
  <c:txPr>
    <a:bodyPr/>
    <a:lstStyle/>
    <a:p>
      <a:pPr>
        <a:defRPr/>
      </a:pPr>
      <a:endParaRPr lang="fr-FR"/>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30866108265979919"/>
          <c:y val="0.16388071673485402"/>
          <c:w val="0.48754972538743185"/>
          <c:h val="0.70009239724874106"/>
        </c:manualLayout>
      </c:layout>
      <c:radarChart>
        <c:radarStyle val="marker"/>
        <c:varyColors val="0"/>
        <c:ser>
          <c:idx val="2"/>
          <c:order val="0"/>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0-2EB5-4BC3-A3F0-E9F587D178B8}"/>
            </c:ext>
          </c:extLst>
        </c:ser>
        <c:ser>
          <c:idx val="3"/>
          <c:order val="1"/>
          <c:spPr>
            <a:ln w="28575" cap="rnd">
              <a:solidFill>
                <a:schemeClr val="accent1"/>
              </a:solidFill>
              <a:round/>
            </a:ln>
            <a:effectLst/>
          </c:spPr>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1-2EB5-4BC3-A3F0-E9F587D178B8}"/>
            </c:ext>
          </c:extLst>
        </c:ser>
        <c:ser>
          <c:idx val="1"/>
          <c:order val="2"/>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2-2EB5-4BC3-A3F0-E9F587D178B8}"/>
            </c:ext>
          </c:extLst>
        </c:ser>
        <c:ser>
          <c:idx val="0"/>
          <c:order val="3"/>
          <c:spPr>
            <a:ln w="28575" cap="rnd">
              <a:solidFill>
                <a:schemeClr val="accent1"/>
              </a:solidFill>
              <a:round/>
            </a:ln>
            <a:effectLst/>
          </c:spPr>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3-2EB5-4BC3-A3F0-E9F587D178B8}"/>
            </c:ext>
          </c:extLst>
        </c:ser>
        <c:dLbls>
          <c:showLegendKey val="0"/>
          <c:showVal val="0"/>
          <c:showCatName val="0"/>
          <c:showSerName val="0"/>
          <c:showPercent val="0"/>
          <c:showBubbleSize val="0"/>
        </c:dLbls>
        <c:axId val="1984193183"/>
        <c:axId val="1984194143"/>
      </c:radarChart>
      <c:catAx>
        <c:axId val="19841931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984194143"/>
        <c:crosses val="autoZero"/>
        <c:auto val="1"/>
        <c:lblAlgn val="ctr"/>
        <c:lblOffset val="100"/>
        <c:noMultiLvlLbl val="0"/>
      </c:catAx>
      <c:valAx>
        <c:axId val="1984194143"/>
        <c:scaling>
          <c:orientation val="minMax"/>
        </c:scaling>
        <c:delete val="1"/>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crossAx val="1984193183"/>
        <c:crosses val="autoZero"/>
        <c:crossBetween val="between"/>
      </c:valAx>
    </c:plotArea>
    <c:plotVisOnly val="1"/>
    <c:dispBlanksAs val="gap"/>
    <c:showDLblsOverMax val="0"/>
    <c:extLst/>
  </c:chart>
  <c:txPr>
    <a:bodyPr/>
    <a:lstStyle/>
    <a:p>
      <a:pPr>
        <a:defRPr/>
      </a:pPr>
      <a:endParaRPr lang="fr-FR"/>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30866108265979919"/>
          <c:y val="0.16388071673485402"/>
          <c:w val="0.48754972538743185"/>
          <c:h val="0.70009239724874106"/>
        </c:manualLayout>
      </c:layout>
      <c:radarChart>
        <c:radarStyle val="marker"/>
        <c:varyColors val="0"/>
        <c:ser>
          <c:idx val="2"/>
          <c:order val="0"/>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0-D0F7-4A1F-9D06-B96E959965FA}"/>
            </c:ext>
          </c:extLst>
        </c:ser>
        <c:ser>
          <c:idx val="3"/>
          <c:order val="1"/>
          <c:spPr>
            <a:ln w="28575" cap="rnd">
              <a:solidFill>
                <a:schemeClr val="accent1"/>
              </a:solidFill>
              <a:round/>
            </a:ln>
            <a:effectLst/>
          </c:spPr>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1-D0F7-4A1F-9D06-B96E959965FA}"/>
            </c:ext>
          </c:extLst>
        </c:ser>
        <c:ser>
          <c:idx val="1"/>
          <c:order val="2"/>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2-D0F7-4A1F-9D06-B96E959965FA}"/>
            </c:ext>
          </c:extLst>
        </c:ser>
        <c:ser>
          <c:idx val="0"/>
          <c:order val="3"/>
          <c:spPr>
            <a:ln w="28575" cap="rnd">
              <a:solidFill>
                <a:schemeClr val="accent1"/>
              </a:solidFill>
              <a:round/>
            </a:ln>
            <a:effectLst/>
          </c:spPr>
          <c:marker>
            <c:symbol val="none"/>
          </c:marker>
          <c:val>
            <c:numRef>
              <c:f>#REF!</c:f>
              <c:numCache>
                <c:formatCode>General</c:formatCode>
                <c:ptCount val="1"/>
                <c:pt idx="0">
                  <c:v>1</c:v>
                </c:pt>
              </c:numCache>
            </c:numRef>
          </c:val>
          <c:extLs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3-D0F7-4A1F-9D06-B96E959965FA}"/>
            </c:ext>
          </c:extLst>
        </c:ser>
        <c:dLbls>
          <c:showLegendKey val="0"/>
          <c:showVal val="0"/>
          <c:showCatName val="0"/>
          <c:showSerName val="0"/>
          <c:showPercent val="0"/>
          <c:showBubbleSize val="0"/>
        </c:dLbls>
        <c:axId val="1984193183"/>
        <c:axId val="1984194143"/>
      </c:radarChart>
      <c:catAx>
        <c:axId val="19841931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984194143"/>
        <c:crosses val="autoZero"/>
        <c:auto val="1"/>
        <c:lblAlgn val="ctr"/>
        <c:lblOffset val="100"/>
        <c:noMultiLvlLbl val="0"/>
      </c:catAx>
      <c:valAx>
        <c:axId val="1984194143"/>
        <c:scaling>
          <c:orientation val="minMax"/>
        </c:scaling>
        <c:delete val="1"/>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crossAx val="1984193183"/>
        <c:crosses val="autoZero"/>
        <c:crossBetween val="between"/>
      </c:valAx>
    </c:plotArea>
    <c:plotVisOnly val="1"/>
    <c:dispBlanksAs val="gap"/>
    <c:showDLblsOverMax val="0"/>
    <c:extLst/>
  </c:chart>
  <c:txPr>
    <a:bodyPr/>
    <a:lstStyle/>
    <a:p>
      <a:pPr>
        <a:defRPr/>
      </a:pPr>
      <a:endParaRPr lang="fr-FR"/>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8796852510361293"/>
          <c:y val="0.16388071673485402"/>
          <c:w val="0.48736136521282841"/>
          <c:h val="0.7643997010097604"/>
        </c:manualLayout>
      </c:layout>
      <c:radarChart>
        <c:radarStyle val="marker"/>
        <c:varyColors val="0"/>
        <c:ser>
          <c:idx val="2"/>
          <c:order val="0"/>
          <c:marker>
            <c:symbol val="none"/>
          </c:marker>
          <c:cat>
            <c:strRef>
              <c:f>'A NEW HOP'!$S$3:$X$3</c:f>
              <c:strCache>
                <c:ptCount val="6"/>
                <c:pt idx="0">
                  <c:v>Cl-</c:v>
                </c:pt>
                <c:pt idx="1">
                  <c:v>SO42-</c:v>
                </c:pt>
                <c:pt idx="2">
                  <c:v>Ca2+</c:v>
                </c:pt>
                <c:pt idx="3">
                  <c:v>Mg2-</c:v>
                </c:pt>
                <c:pt idx="4">
                  <c:v>Na+</c:v>
                </c:pt>
                <c:pt idx="5">
                  <c:v>HCO3-</c:v>
                </c:pt>
              </c:strCache>
            </c:strRef>
          </c:cat>
          <c:val>
            <c:numRef>
              <c:f>'A NEW HOP'!$S$5:$X$5</c:f>
              <c:numCache>
                <c:formatCode>###" mg/L"</c:formatCode>
                <c:ptCount val="6"/>
                <c:pt idx="0">
                  <c:v>37</c:v>
                </c:pt>
                <c:pt idx="1">
                  <c:v>60</c:v>
                </c:pt>
                <c:pt idx="2">
                  <c:v>107</c:v>
                </c:pt>
                <c:pt idx="3">
                  <c:v>10.3</c:v>
                </c:pt>
                <c:pt idx="4">
                  <c:v>21</c:v>
                </c:pt>
                <c:pt idx="5">
                  <c:v>294</c:v>
                </c:pt>
              </c:numCache>
            </c:numRef>
          </c:val>
          <c:extLst>
            <c:ext xmlns:c16="http://schemas.microsoft.com/office/drawing/2014/chart" uri="{C3380CC4-5D6E-409C-BE32-E72D297353CC}">
              <c16:uniqueId val="{00000000-0154-4F13-9606-2EA747423C90}"/>
            </c:ext>
          </c:extLst>
        </c:ser>
        <c:ser>
          <c:idx val="3"/>
          <c:order val="1"/>
          <c:spPr>
            <a:ln w="28575" cap="rnd">
              <a:solidFill>
                <a:schemeClr val="accent1"/>
              </a:solidFill>
              <a:round/>
            </a:ln>
            <a:effectLst/>
          </c:spPr>
          <c:marker>
            <c:symbol val="none"/>
          </c:marker>
          <c:cat>
            <c:strRef>
              <c:f>'A NEW HOP'!$S$3:$X$3</c:f>
              <c:strCache>
                <c:ptCount val="6"/>
                <c:pt idx="0">
                  <c:v>Cl-</c:v>
                </c:pt>
                <c:pt idx="1">
                  <c:v>SO42-</c:v>
                </c:pt>
                <c:pt idx="2">
                  <c:v>Ca2+</c:v>
                </c:pt>
                <c:pt idx="3">
                  <c:v>Mg2-</c:v>
                </c:pt>
                <c:pt idx="4">
                  <c:v>Na+</c:v>
                </c:pt>
                <c:pt idx="5">
                  <c:v>HCO3-</c:v>
                </c:pt>
              </c:strCache>
            </c:strRef>
          </c:cat>
          <c:val>
            <c:numRef>
              <c:f>'A NEW HOP'!$S$9:$X$9</c:f>
              <c:numCache>
                <c:formatCode>General</c:formatCode>
                <c:ptCount val="6"/>
                <c:pt idx="0">
                  <c:v>150</c:v>
                </c:pt>
                <c:pt idx="1">
                  <c:v>0</c:v>
                </c:pt>
                <c:pt idx="2">
                  <c:v>50</c:v>
                </c:pt>
                <c:pt idx="3">
                  <c:v>5</c:v>
                </c:pt>
                <c:pt idx="4">
                  <c:v>10</c:v>
                </c:pt>
                <c:pt idx="5">
                  <c:v>0</c:v>
                </c:pt>
              </c:numCache>
            </c:numRef>
          </c:val>
          <c:extLst>
            <c:ext xmlns:c16="http://schemas.microsoft.com/office/drawing/2014/chart" uri="{C3380CC4-5D6E-409C-BE32-E72D297353CC}">
              <c16:uniqueId val="{00000001-0154-4F13-9606-2EA747423C90}"/>
            </c:ext>
          </c:extLst>
        </c:ser>
        <c:ser>
          <c:idx val="1"/>
          <c:order val="2"/>
          <c:marker>
            <c:symbol val="none"/>
          </c:marker>
          <c:cat>
            <c:strRef>
              <c:f>'A NEW HOP'!$S$3:$X$3</c:f>
              <c:strCache>
                <c:ptCount val="6"/>
                <c:pt idx="0">
                  <c:v>Cl-</c:v>
                </c:pt>
                <c:pt idx="1">
                  <c:v>SO42-</c:v>
                </c:pt>
                <c:pt idx="2">
                  <c:v>Ca2+</c:v>
                </c:pt>
                <c:pt idx="3">
                  <c:v>Mg2-</c:v>
                </c:pt>
                <c:pt idx="4">
                  <c:v>Na+</c:v>
                </c:pt>
                <c:pt idx="5">
                  <c:v>HCO3-</c:v>
                </c:pt>
              </c:strCache>
            </c:strRef>
          </c:cat>
          <c:val>
            <c:numRef>
              <c:f>'A NEW HOP'!$S$5:$X$5</c:f>
              <c:numCache>
                <c:formatCode>###" mg/L"</c:formatCode>
                <c:ptCount val="6"/>
                <c:pt idx="0">
                  <c:v>37</c:v>
                </c:pt>
                <c:pt idx="1">
                  <c:v>60</c:v>
                </c:pt>
                <c:pt idx="2">
                  <c:v>107</c:v>
                </c:pt>
                <c:pt idx="3">
                  <c:v>10.3</c:v>
                </c:pt>
                <c:pt idx="4">
                  <c:v>21</c:v>
                </c:pt>
                <c:pt idx="5">
                  <c:v>294</c:v>
                </c:pt>
              </c:numCache>
            </c:numRef>
          </c:val>
          <c:extLst>
            <c:ext xmlns:c16="http://schemas.microsoft.com/office/drawing/2014/chart" uri="{C3380CC4-5D6E-409C-BE32-E72D297353CC}">
              <c16:uniqueId val="{00000002-0154-4F13-9606-2EA747423C90}"/>
            </c:ext>
          </c:extLst>
        </c:ser>
        <c:ser>
          <c:idx val="0"/>
          <c:order val="3"/>
          <c:spPr>
            <a:ln w="28575" cap="rnd">
              <a:solidFill>
                <a:schemeClr val="accent1"/>
              </a:solidFill>
              <a:round/>
            </a:ln>
            <a:effectLst/>
          </c:spPr>
          <c:marker>
            <c:symbol val="none"/>
          </c:marker>
          <c:cat>
            <c:strRef>
              <c:f>'A NEW HOP'!$S$3:$X$3</c:f>
              <c:strCache>
                <c:ptCount val="6"/>
                <c:pt idx="0">
                  <c:v>Cl-</c:v>
                </c:pt>
                <c:pt idx="1">
                  <c:v>SO42-</c:v>
                </c:pt>
                <c:pt idx="2">
                  <c:v>Ca2+</c:v>
                </c:pt>
                <c:pt idx="3">
                  <c:v>Mg2-</c:v>
                </c:pt>
                <c:pt idx="4">
                  <c:v>Na+</c:v>
                </c:pt>
                <c:pt idx="5">
                  <c:v>HCO3-</c:v>
                </c:pt>
              </c:strCache>
            </c:strRef>
          </c:cat>
          <c:val>
            <c:numRef>
              <c:f>'A NEW HOP'!$S$10:$X$10</c:f>
              <c:numCache>
                <c:formatCode>General</c:formatCode>
                <c:ptCount val="6"/>
                <c:pt idx="0">
                  <c:v>250</c:v>
                </c:pt>
                <c:pt idx="1">
                  <c:v>50</c:v>
                </c:pt>
                <c:pt idx="2">
                  <c:v>100</c:v>
                </c:pt>
                <c:pt idx="3">
                  <c:v>20</c:v>
                </c:pt>
                <c:pt idx="4">
                  <c:v>30</c:v>
                </c:pt>
                <c:pt idx="5">
                  <c:v>50</c:v>
                </c:pt>
              </c:numCache>
            </c:numRef>
          </c:val>
          <c:extLst>
            <c:ext xmlns:c16="http://schemas.microsoft.com/office/drawing/2014/chart" uri="{C3380CC4-5D6E-409C-BE32-E72D297353CC}">
              <c16:uniqueId val="{00000003-0154-4F13-9606-2EA747423C90}"/>
            </c:ext>
          </c:extLst>
        </c:ser>
        <c:dLbls>
          <c:showLegendKey val="0"/>
          <c:showVal val="0"/>
          <c:showCatName val="0"/>
          <c:showSerName val="0"/>
          <c:showPercent val="0"/>
          <c:showBubbleSize val="0"/>
        </c:dLbls>
        <c:axId val="1984193183"/>
        <c:axId val="1984194143"/>
      </c:radarChart>
      <c:catAx>
        <c:axId val="19841931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984194143"/>
        <c:crosses val="autoZero"/>
        <c:auto val="1"/>
        <c:lblAlgn val="ctr"/>
        <c:lblOffset val="100"/>
        <c:noMultiLvlLbl val="0"/>
      </c:catAx>
      <c:valAx>
        <c:axId val="1984194143"/>
        <c:scaling>
          <c:orientation val="minMax"/>
        </c:scaling>
        <c:delete val="1"/>
        <c:axPos val="l"/>
        <c:majorGridlines>
          <c:spPr>
            <a:ln w="9525" cap="flat" cmpd="sng" algn="ctr">
              <a:solidFill>
                <a:schemeClr val="tx1">
                  <a:lumMod val="15000"/>
                  <a:lumOff val="85000"/>
                </a:schemeClr>
              </a:solidFill>
              <a:round/>
            </a:ln>
            <a:effectLst/>
          </c:spPr>
        </c:majorGridlines>
        <c:numFmt formatCode="###&quot; mg/L&quot;" sourceLinked="1"/>
        <c:majorTickMark val="none"/>
        <c:minorTickMark val="none"/>
        <c:tickLblPos val="nextTo"/>
        <c:crossAx val="1984193183"/>
        <c:crosses val="autoZero"/>
        <c:crossBetween val="between"/>
      </c:valAx>
    </c:plotArea>
    <c:plotVisOnly val="1"/>
    <c:dispBlanksAs val="gap"/>
    <c:showDLblsOverMax val="0"/>
    <c:extLst/>
  </c:chart>
  <c:txPr>
    <a:bodyPr/>
    <a:lstStyle/>
    <a:p>
      <a:pPr>
        <a:defRPr/>
      </a:pPr>
      <a:endParaRPr lang="fr-FR"/>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Suivi</a:t>
            </a:r>
            <a:r>
              <a:rPr lang="fr-FR" baseline="0"/>
              <a:t> de densité</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manualLayout>
          <c:layoutTarget val="inner"/>
          <c:xMode val="edge"/>
          <c:yMode val="edge"/>
          <c:x val="0.13804307109694469"/>
          <c:y val="0.17334132081669834"/>
          <c:w val="0.76968337785063123"/>
          <c:h val="0.67821946299121527"/>
        </c:manualLayout>
      </c:layout>
      <c:scatterChart>
        <c:scatterStyle val="lineMarker"/>
        <c:varyColors val="0"/>
        <c:ser>
          <c:idx val="0"/>
          <c:order val="0"/>
          <c:tx>
            <c:strRef>
              <c:f>'A NEW HOP'!$AA$31</c:f>
              <c:strCache>
                <c:ptCount val="1"/>
                <c:pt idx="0">
                  <c:v>densité ajustée</c:v>
                </c:pt>
              </c:strCache>
            </c:strRef>
          </c:tx>
          <c:spPr>
            <a:ln w="19050" cap="rnd">
              <a:noFill/>
              <a:round/>
            </a:ln>
            <a:effectLst/>
          </c:spPr>
          <c:marker>
            <c:symbol val="circle"/>
            <c:size val="5"/>
            <c:spPr>
              <a:solidFill>
                <a:schemeClr val="accent1"/>
              </a:solidFill>
              <a:ln w="9525">
                <a:solidFill>
                  <a:schemeClr val="accent1"/>
                </a:solidFill>
              </a:ln>
              <a:effectLst/>
            </c:spPr>
          </c:marker>
          <c:xVal>
            <c:numRef>
              <c:f>'A NEW HOP'!$Y$32:$Y$38</c:f>
              <c:numCache>
                <c:formatCode>m/d/yyyy</c:formatCode>
                <c:ptCount val="7"/>
              </c:numCache>
            </c:numRef>
          </c:xVal>
          <c:yVal>
            <c:numRef>
              <c:f>'A NEW HOP'!$AA$32:$AA$38</c:f>
              <c:numCache>
                <c:formatCode>0.000</c:formatCode>
                <c:ptCount val="7"/>
                <c:pt idx="0">
                  <c:v>-3.0930160000000004</c:v>
                </c:pt>
                <c:pt idx="1">
                  <c:v>-3.0930160000000004</c:v>
                </c:pt>
                <c:pt idx="2">
                  <c:v>-3.0930160000000004</c:v>
                </c:pt>
                <c:pt idx="3">
                  <c:v>-3.0930160000000004</c:v>
                </c:pt>
                <c:pt idx="4">
                  <c:v>-3.0930160000000004</c:v>
                </c:pt>
                <c:pt idx="5">
                  <c:v>-3.0930160000000004</c:v>
                </c:pt>
                <c:pt idx="6">
                  <c:v>-3.0930160000000004</c:v>
                </c:pt>
              </c:numCache>
            </c:numRef>
          </c:yVal>
          <c:smooth val="0"/>
          <c:extLst>
            <c:ext xmlns:c16="http://schemas.microsoft.com/office/drawing/2014/chart" uri="{C3380CC4-5D6E-409C-BE32-E72D297353CC}">
              <c16:uniqueId val="{00000000-2854-435C-B87A-3B0B6016CE6B}"/>
            </c:ext>
          </c:extLst>
        </c:ser>
        <c:dLbls>
          <c:showLegendKey val="0"/>
          <c:showVal val="0"/>
          <c:showCatName val="0"/>
          <c:showSerName val="0"/>
          <c:showPercent val="0"/>
          <c:showBubbleSize val="0"/>
        </c:dLbls>
        <c:axId val="812724160"/>
        <c:axId val="812724640"/>
      </c:scatterChart>
      <c:valAx>
        <c:axId val="812724160"/>
        <c:scaling>
          <c:orientation val="minMax"/>
        </c:scaling>
        <c:delete val="0"/>
        <c:axPos val="b"/>
        <c:majorGridlines>
          <c:spPr>
            <a:ln w="9525" cap="flat" cmpd="sng" algn="ctr">
              <a:solidFill>
                <a:schemeClr val="tx1">
                  <a:lumMod val="15000"/>
                  <a:lumOff val="85000"/>
                </a:schemeClr>
              </a:solidFill>
              <a:round/>
            </a:ln>
            <a:effectLst/>
          </c:spPr>
        </c:majorGridlines>
        <c:numFmt formatCode="m/d/yyyy"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812724640"/>
        <c:crosses val="autoZero"/>
        <c:crossBetween val="midCat"/>
      </c:valAx>
      <c:valAx>
        <c:axId val="812724640"/>
        <c:scaling>
          <c:orientation val="minMax"/>
          <c:max val="1.1000000000000001"/>
          <c:min val="1"/>
        </c:scaling>
        <c:delete val="0"/>
        <c:axPos val="l"/>
        <c:majorGridlines>
          <c:spPr>
            <a:ln w="9525" cap="flat" cmpd="sng" algn="ctr">
              <a:solidFill>
                <a:schemeClr val="tx1">
                  <a:lumMod val="15000"/>
                  <a:lumOff val="85000"/>
                </a:schemeClr>
              </a:solidFill>
              <a:round/>
            </a:ln>
            <a:effectLst/>
          </c:spPr>
        </c:majorGridlines>
        <c:numFmt formatCode="0.000"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812724160"/>
        <c:crosses val="autoZero"/>
        <c:crossBetween val="midCat"/>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30866108265979919"/>
          <c:y val="0.16388071673485402"/>
          <c:w val="0.48754972538743185"/>
          <c:h val="0.70009239724874106"/>
        </c:manualLayout>
      </c:layout>
      <c:radarChart>
        <c:radarStyle val="marker"/>
        <c:varyColors val="0"/>
        <c:ser>
          <c:idx val="2"/>
          <c:order val="0"/>
          <c:marker>
            <c:symbol val="none"/>
          </c:marker>
          <c:cat>
            <c:strRef>
              <c:f>TYTYMUT!$R$3:$W$3</c:f>
              <c:strCache>
                <c:ptCount val="6"/>
                <c:pt idx="0">
                  <c:v>Cl</c:v>
                </c:pt>
                <c:pt idx="1">
                  <c:v>SO4</c:v>
                </c:pt>
                <c:pt idx="2">
                  <c:v>Ca</c:v>
                </c:pt>
                <c:pt idx="3">
                  <c:v>Mg</c:v>
                </c:pt>
                <c:pt idx="4">
                  <c:v>Na</c:v>
                </c:pt>
                <c:pt idx="5">
                  <c:v>HCO3</c:v>
                </c:pt>
              </c:strCache>
            </c:strRef>
          </c:cat>
          <c:val>
            <c:numRef>
              <c:f>TYTYMUT!$R$5:$W$5</c:f>
              <c:numCache>
                <c:formatCode>###" mg/L"</c:formatCode>
                <c:ptCount val="6"/>
                <c:pt idx="0">
                  <c:v>48.4</c:v>
                </c:pt>
                <c:pt idx="1">
                  <c:v>85.9</c:v>
                </c:pt>
                <c:pt idx="2">
                  <c:v>116</c:v>
                </c:pt>
                <c:pt idx="3">
                  <c:v>7.1</c:v>
                </c:pt>
                <c:pt idx="4">
                  <c:v>18.600000000000001</c:v>
                </c:pt>
                <c:pt idx="5">
                  <c:v>359</c:v>
                </c:pt>
              </c:numCache>
            </c:numRef>
          </c:val>
          <c:extLst>
            <c:ext xmlns:c16="http://schemas.microsoft.com/office/drawing/2014/chart" uri="{C3380CC4-5D6E-409C-BE32-E72D297353CC}">
              <c16:uniqueId val="{00000000-1262-478A-A013-BF0C1A3F79CC}"/>
            </c:ext>
          </c:extLst>
        </c:ser>
        <c:ser>
          <c:idx val="3"/>
          <c:order val="1"/>
          <c:spPr>
            <a:ln w="28575" cap="rnd">
              <a:solidFill>
                <a:schemeClr val="accent1"/>
              </a:solidFill>
              <a:round/>
            </a:ln>
            <a:effectLst/>
          </c:spPr>
          <c:marker>
            <c:symbol val="none"/>
          </c:marker>
          <c:cat>
            <c:strRef>
              <c:f>TYTYMUT!$R$3:$W$3</c:f>
              <c:strCache>
                <c:ptCount val="6"/>
                <c:pt idx="0">
                  <c:v>Cl</c:v>
                </c:pt>
                <c:pt idx="1">
                  <c:v>SO4</c:v>
                </c:pt>
                <c:pt idx="2">
                  <c:v>Ca</c:v>
                </c:pt>
                <c:pt idx="3">
                  <c:v>Mg</c:v>
                </c:pt>
                <c:pt idx="4">
                  <c:v>Na</c:v>
                </c:pt>
                <c:pt idx="5">
                  <c:v>HCO3</c:v>
                </c:pt>
              </c:strCache>
            </c:strRef>
          </c:cat>
          <c:val>
            <c:numRef>
              <c:f>TYTYMUT!$R$8:$W$8</c:f>
              <c:numCache>
                <c:formatCode>General</c:formatCode>
                <c:ptCount val="6"/>
                <c:pt idx="0">
                  <c:v>0</c:v>
                </c:pt>
                <c:pt idx="1">
                  <c:v>0</c:v>
                </c:pt>
                <c:pt idx="2">
                  <c:v>0</c:v>
                </c:pt>
                <c:pt idx="3">
                  <c:v>0</c:v>
                </c:pt>
                <c:pt idx="4">
                  <c:v>0</c:v>
                </c:pt>
                <c:pt idx="5">
                  <c:v>0</c:v>
                </c:pt>
              </c:numCache>
            </c:numRef>
          </c:val>
          <c:extLst>
            <c:ext xmlns:c16="http://schemas.microsoft.com/office/drawing/2014/chart" uri="{C3380CC4-5D6E-409C-BE32-E72D297353CC}">
              <c16:uniqueId val="{00000001-1262-478A-A013-BF0C1A3F79CC}"/>
            </c:ext>
          </c:extLst>
        </c:ser>
        <c:ser>
          <c:idx val="1"/>
          <c:order val="2"/>
          <c:marker>
            <c:symbol val="none"/>
          </c:marker>
          <c:cat>
            <c:strRef>
              <c:f>TYTYMUT!$R$3:$W$3</c:f>
              <c:strCache>
                <c:ptCount val="6"/>
                <c:pt idx="0">
                  <c:v>Cl</c:v>
                </c:pt>
                <c:pt idx="1">
                  <c:v>SO4</c:v>
                </c:pt>
                <c:pt idx="2">
                  <c:v>Ca</c:v>
                </c:pt>
                <c:pt idx="3">
                  <c:v>Mg</c:v>
                </c:pt>
                <c:pt idx="4">
                  <c:v>Na</c:v>
                </c:pt>
                <c:pt idx="5">
                  <c:v>HCO3</c:v>
                </c:pt>
              </c:strCache>
            </c:strRef>
          </c:cat>
          <c:val>
            <c:numRef>
              <c:f>TYTYMUT!$R$5:$W$5</c:f>
              <c:numCache>
                <c:formatCode>###" mg/L"</c:formatCode>
                <c:ptCount val="6"/>
                <c:pt idx="0">
                  <c:v>48.4</c:v>
                </c:pt>
                <c:pt idx="1">
                  <c:v>85.9</c:v>
                </c:pt>
                <c:pt idx="2">
                  <c:v>116</c:v>
                </c:pt>
                <c:pt idx="3">
                  <c:v>7.1</c:v>
                </c:pt>
                <c:pt idx="4">
                  <c:v>18.600000000000001</c:v>
                </c:pt>
                <c:pt idx="5">
                  <c:v>359</c:v>
                </c:pt>
              </c:numCache>
            </c:numRef>
          </c:val>
          <c:extLst>
            <c:ext xmlns:c16="http://schemas.microsoft.com/office/drawing/2014/chart" uri="{C3380CC4-5D6E-409C-BE32-E72D297353CC}">
              <c16:uniqueId val="{00000002-1262-478A-A013-BF0C1A3F79CC}"/>
            </c:ext>
          </c:extLst>
        </c:ser>
        <c:ser>
          <c:idx val="0"/>
          <c:order val="3"/>
          <c:spPr>
            <a:ln w="28575" cap="rnd">
              <a:solidFill>
                <a:schemeClr val="accent1"/>
              </a:solidFill>
              <a:round/>
            </a:ln>
            <a:effectLst/>
          </c:spPr>
          <c:marker>
            <c:symbol val="none"/>
          </c:marker>
          <c:cat>
            <c:strRef>
              <c:f>TYTYMUT!$R$3:$W$3</c:f>
              <c:strCache>
                <c:ptCount val="6"/>
                <c:pt idx="0">
                  <c:v>Cl</c:v>
                </c:pt>
                <c:pt idx="1">
                  <c:v>SO4</c:v>
                </c:pt>
                <c:pt idx="2">
                  <c:v>Ca</c:v>
                </c:pt>
                <c:pt idx="3">
                  <c:v>Mg</c:v>
                </c:pt>
                <c:pt idx="4">
                  <c:v>Na</c:v>
                </c:pt>
                <c:pt idx="5">
                  <c:v>HCO3</c:v>
                </c:pt>
              </c:strCache>
            </c:strRef>
          </c:cat>
          <c:val>
            <c:numRef>
              <c:f>TYTYMUT!$R$9:$W$9</c:f>
              <c:numCache>
                <c:formatCode>General</c:formatCode>
                <c:ptCount val="6"/>
                <c:pt idx="0">
                  <c:v>0</c:v>
                </c:pt>
                <c:pt idx="1">
                  <c:v>0</c:v>
                </c:pt>
                <c:pt idx="2">
                  <c:v>0</c:v>
                </c:pt>
                <c:pt idx="3">
                  <c:v>0</c:v>
                </c:pt>
                <c:pt idx="4">
                  <c:v>0</c:v>
                </c:pt>
                <c:pt idx="5">
                  <c:v>0</c:v>
                </c:pt>
              </c:numCache>
            </c:numRef>
          </c:val>
          <c:extLst>
            <c:ext xmlns:c16="http://schemas.microsoft.com/office/drawing/2014/chart" uri="{C3380CC4-5D6E-409C-BE32-E72D297353CC}">
              <c16:uniqueId val="{00000003-1262-478A-A013-BF0C1A3F79CC}"/>
            </c:ext>
          </c:extLst>
        </c:ser>
        <c:dLbls>
          <c:showLegendKey val="0"/>
          <c:showVal val="0"/>
          <c:showCatName val="0"/>
          <c:showSerName val="0"/>
          <c:showPercent val="0"/>
          <c:showBubbleSize val="0"/>
        </c:dLbls>
        <c:axId val="1984193183"/>
        <c:axId val="1984194143"/>
      </c:radarChart>
      <c:catAx>
        <c:axId val="19841931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984194143"/>
        <c:crosses val="autoZero"/>
        <c:auto val="1"/>
        <c:lblAlgn val="ctr"/>
        <c:lblOffset val="100"/>
        <c:noMultiLvlLbl val="0"/>
      </c:catAx>
      <c:valAx>
        <c:axId val="1984194143"/>
        <c:scaling>
          <c:orientation val="minMax"/>
        </c:scaling>
        <c:delete val="1"/>
        <c:axPos val="l"/>
        <c:majorGridlines>
          <c:spPr>
            <a:ln w="9525" cap="flat" cmpd="sng" algn="ctr">
              <a:solidFill>
                <a:schemeClr val="tx1">
                  <a:lumMod val="15000"/>
                  <a:lumOff val="85000"/>
                </a:schemeClr>
              </a:solidFill>
              <a:round/>
            </a:ln>
            <a:effectLst/>
          </c:spPr>
        </c:majorGridlines>
        <c:numFmt formatCode="###&quot; mg/L&quot;" sourceLinked="1"/>
        <c:majorTickMark val="none"/>
        <c:minorTickMark val="none"/>
        <c:tickLblPos val="nextTo"/>
        <c:crossAx val="1984193183"/>
        <c:crosses val="autoZero"/>
        <c:crossBetween val="between"/>
      </c:valAx>
    </c:plotArea>
    <c:plotVisOnly val="1"/>
    <c:dispBlanksAs val="gap"/>
    <c:showDLblsOverMax val="0"/>
    <c:extLst/>
  </c:chart>
  <c:txPr>
    <a:bodyPr/>
    <a:lstStyle/>
    <a:p>
      <a:pPr>
        <a:defRPr/>
      </a:pPr>
      <a:endParaRPr lang="fr-FR"/>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8796852510361293"/>
          <c:y val="0.16388071673485402"/>
          <c:w val="0.48736136521282841"/>
          <c:h val="0.7643997010097604"/>
        </c:manualLayout>
      </c:layout>
      <c:radarChart>
        <c:radarStyle val="marker"/>
        <c:varyColors val="0"/>
        <c:ser>
          <c:idx val="2"/>
          <c:order val="0"/>
          <c:marker>
            <c:symbol val="none"/>
          </c:marker>
          <c:cat>
            <c:strRef>
              <c:f>CHAUVIN!$S$3:$X$3</c:f>
              <c:strCache>
                <c:ptCount val="6"/>
                <c:pt idx="0">
                  <c:v>Cl-</c:v>
                </c:pt>
                <c:pt idx="1">
                  <c:v>SO42-</c:v>
                </c:pt>
                <c:pt idx="2">
                  <c:v>Ca2+</c:v>
                </c:pt>
                <c:pt idx="3">
                  <c:v>Mg2-</c:v>
                </c:pt>
                <c:pt idx="4">
                  <c:v>Na+</c:v>
                </c:pt>
                <c:pt idx="5">
                  <c:v>HCO3-</c:v>
                </c:pt>
              </c:strCache>
            </c:strRef>
          </c:cat>
          <c:val>
            <c:numRef>
              <c:f>CHAUVIN!$S$5:$X$5</c:f>
              <c:numCache>
                <c:formatCode>###" mg/L"</c:formatCode>
                <c:ptCount val="6"/>
                <c:pt idx="0">
                  <c:v>52</c:v>
                </c:pt>
                <c:pt idx="1">
                  <c:v>70</c:v>
                </c:pt>
                <c:pt idx="2">
                  <c:v>126</c:v>
                </c:pt>
                <c:pt idx="3">
                  <c:v>10.3</c:v>
                </c:pt>
                <c:pt idx="4">
                  <c:v>23.8</c:v>
                </c:pt>
                <c:pt idx="5">
                  <c:v>286</c:v>
                </c:pt>
              </c:numCache>
            </c:numRef>
          </c:val>
          <c:extLst>
            <c:ext xmlns:c16="http://schemas.microsoft.com/office/drawing/2014/chart" uri="{C3380CC4-5D6E-409C-BE32-E72D297353CC}">
              <c16:uniqueId val="{00000000-26CE-4A0E-8A00-D02CA3184EE2}"/>
            </c:ext>
          </c:extLst>
        </c:ser>
        <c:ser>
          <c:idx val="3"/>
          <c:order val="1"/>
          <c:spPr>
            <a:ln w="28575" cap="rnd">
              <a:solidFill>
                <a:schemeClr val="accent1"/>
              </a:solidFill>
              <a:round/>
            </a:ln>
            <a:effectLst/>
          </c:spPr>
          <c:marker>
            <c:symbol val="none"/>
          </c:marker>
          <c:cat>
            <c:strRef>
              <c:f>CHAUVIN!$S$3:$X$3</c:f>
              <c:strCache>
                <c:ptCount val="6"/>
                <c:pt idx="0">
                  <c:v>Cl-</c:v>
                </c:pt>
                <c:pt idx="1">
                  <c:v>SO42-</c:v>
                </c:pt>
                <c:pt idx="2">
                  <c:v>Ca2+</c:v>
                </c:pt>
                <c:pt idx="3">
                  <c:v>Mg2-</c:v>
                </c:pt>
                <c:pt idx="4">
                  <c:v>Na+</c:v>
                </c:pt>
                <c:pt idx="5">
                  <c:v>HCO3-</c:v>
                </c:pt>
              </c:strCache>
            </c:strRef>
          </c:cat>
          <c:val>
            <c:numRef>
              <c:f>CHAUVIN!$S$9:$X$9</c:f>
              <c:numCache>
                <c:formatCode>General</c:formatCode>
                <c:ptCount val="6"/>
                <c:pt idx="0">
                  <c:v>150</c:v>
                </c:pt>
                <c:pt idx="1">
                  <c:v>0</c:v>
                </c:pt>
                <c:pt idx="2">
                  <c:v>50</c:v>
                </c:pt>
                <c:pt idx="3">
                  <c:v>5</c:v>
                </c:pt>
                <c:pt idx="4">
                  <c:v>10</c:v>
                </c:pt>
                <c:pt idx="5">
                  <c:v>0</c:v>
                </c:pt>
              </c:numCache>
            </c:numRef>
          </c:val>
          <c:extLst>
            <c:ext xmlns:c16="http://schemas.microsoft.com/office/drawing/2014/chart" uri="{C3380CC4-5D6E-409C-BE32-E72D297353CC}">
              <c16:uniqueId val="{00000001-26CE-4A0E-8A00-D02CA3184EE2}"/>
            </c:ext>
          </c:extLst>
        </c:ser>
        <c:ser>
          <c:idx val="1"/>
          <c:order val="2"/>
          <c:marker>
            <c:symbol val="none"/>
          </c:marker>
          <c:cat>
            <c:strRef>
              <c:f>CHAUVIN!$S$3:$X$3</c:f>
              <c:strCache>
                <c:ptCount val="6"/>
                <c:pt idx="0">
                  <c:v>Cl-</c:v>
                </c:pt>
                <c:pt idx="1">
                  <c:v>SO42-</c:v>
                </c:pt>
                <c:pt idx="2">
                  <c:v>Ca2+</c:v>
                </c:pt>
                <c:pt idx="3">
                  <c:v>Mg2-</c:v>
                </c:pt>
                <c:pt idx="4">
                  <c:v>Na+</c:v>
                </c:pt>
                <c:pt idx="5">
                  <c:v>HCO3-</c:v>
                </c:pt>
              </c:strCache>
            </c:strRef>
          </c:cat>
          <c:val>
            <c:numRef>
              <c:f>CHAUVIN!$S$5:$X$5</c:f>
              <c:numCache>
                <c:formatCode>###" mg/L"</c:formatCode>
                <c:ptCount val="6"/>
                <c:pt idx="0">
                  <c:v>52</c:v>
                </c:pt>
                <c:pt idx="1">
                  <c:v>70</c:v>
                </c:pt>
                <c:pt idx="2">
                  <c:v>126</c:v>
                </c:pt>
                <c:pt idx="3">
                  <c:v>10.3</c:v>
                </c:pt>
                <c:pt idx="4">
                  <c:v>23.8</c:v>
                </c:pt>
                <c:pt idx="5">
                  <c:v>286</c:v>
                </c:pt>
              </c:numCache>
            </c:numRef>
          </c:val>
          <c:extLst>
            <c:ext xmlns:c16="http://schemas.microsoft.com/office/drawing/2014/chart" uri="{C3380CC4-5D6E-409C-BE32-E72D297353CC}">
              <c16:uniqueId val="{00000002-26CE-4A0E-8A00-D02CA3184EE2}"/>
            </c:ext>
          </c:extLst>
        </c:ser>
        <c:ser>
          <c:idx val="0"/>
          <c:order val="3"/>
          <c:spPr>
            <a:ln w="28575" cap="rnd">
              <a:solidFill>
                <a:schemeClr val="accent1"/>
              </a:solidFill>
              <a:round/>
            </a:ln>
            <a:effectLst/>
          </c:spPr>
          <c:marker>
            <c:symbol val="none"/>
          </c:marker>
          <c:cat>
            <c:strRef>
              <c:f>CHAUVIN!$S$3:$X$3</c:f>
              <c:strCache>
                <c:ptCount val="6"/>
                <c:pt idx="0">
                  <c:v>Cl-</c:v>
                </c:pt>
                <c:pt idx="1">
                  <c:v>SO42-</c:v>
                </c:pt>
                <c:pt idx="2">
                  <c:v>Ca2+</c:v>
                </c:pt>
                <c:pt idx="3">
                  <c:v>Mg2-</c:v>
                </c:pt>
                <c:pt idx="4">
                  <c:v>Na+</c:v>
                </c:pt>
                <c:pt idx="5">
                  <c:v>HCO3-</c:v>
                </c:pt>
              </c:strCache>
            </c:strRef>
          </c:cat>
          <c:val>
            <c:numRef>
              <c:f>CHAUVIN!$S$10:$X$10</c:f>
              <c:numCache>
                <c:formatCode>General</c:formatCode>
                <c:ptCount val="6"/>
                <c:pt idx="0">
                  <c:v>250</c:v>
                </c:pt>
                <c:pt idx="1">
                  <c:v>50</c:v>
                </c:pt>
                <c:pt idx="2">
                  <c:v>100</c:v>
                </c:pt>
                <c:pt idx="3">
                  <c:v>20</c:v>
                </c:pt>
                <c:pt idx="4">
                  <c:v>30</c:v>
                </c:pt>
                <c:pt idx="5">
                  <c:v>50</c:v>
                </c:pt>
              </c:numCache>
            </c:numRef>
          </c:val>
          <c:extLst>
            <c:ext xmlns:c16="http://schemas.microsoft.com/office/drawing/2014/chart" uri="{C3380CC4-5D6E-409C-BE32-E72D297353CC}">
              <c16:uniqueId val="{00000003-26CE-4A0E-8A00-D02CA3184EE2}"/>
            </c:ext>
          </c:extLst>
        </c:ser>
        <c:dLbls>
          <c:showLegendKey val="0"/>
          <c:showVal val="0"/>
          <c:showCatName val="0"/>
          <c:showSerName val="0"/>
          <c:showPercent val="0"/>
          <c:showBubbleSize val="0"/>
        </c:dLbls>
        <c:axId val="1984193183"/>
        <c:axId val="1984194143"/>
      </c:radarChart>
      <c:catAx>
        <c:axId val="19841931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984194143"/>
        <c:crosses val="autoZero"/>
        <c:auto val="1"/>
        <c:lblAlgn val="ctr"/>
        <c:lblOffset val="100"/>
        <c:noMultiLvlLbl val="0"/>
      </c:catAx>
      <c:valAx>
        <c:axId val="1984194143"/>
        <c:scaling>
          <c:orientation val="minMax"/>
        </c:scaling>
        <c:delete val="1"/>
        <c:axPos val="l"/>
        <c:majorGridlines>
          <c:spPr>
            <a:ln w="9525" cap="flat" cmpd="sng" algn="ctr">
              <a:solidFill>
                <a:schemeClr val="tx1">
                  <a:lumMod val="15000"/>
                  <a:lumOff val="85000"/>
                </a:schemeClr>
              </a:solidFill>
              <a:round/>
            </a:ln>
            <a:effectLst/>
          </c:spPr>
        </c:majorGridlines>
        <c:numFmt formatCode="###&quot; mg/L&quot;" sourceLinked="1"/>
        <c:majorTickMark val="none"/>
        <c:minorTickMark val="none"/>
        <c:tickLblPos val="nextTo"/>
        <c:crossAx val="1984193183"/>
        <c:crosses val="autoZero"/>
        <c:crossBetween val="between"/>
      </c:valAx>
    </c:plotArea>
    <c:plotVisOnly val="1"/>
    <c:dispBlanksAs val="gap"/>
    <c:showDLblsOverMax val="0"/>
    <c:extLst/>
  </c:chart>
  <c:txPr>
    <a:bodyPr/>
    <a:lstStyle/>
    <a:p>
      <a:pPr>
        <a:defRPr/>
      </a:pPr>
      <a:endParaRPr lang="fr-FR"/>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Suivi</a:t>
            </a:r>
            <a:r>
              <a:rPr lang="fr-FR" baseline="0"/>
              <a:t> de densité</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manualLayout>
          <c:layoutTarget val="inner"/>
          <c:xMode val="edge"/>
          <c:yMode val="edge"/>
          <c:x val="0.13804307109694469"/>
          <c:y val="0.17334132081669834"/>
          <c:w val="0.76968337785063123"/>
          <c:h val="0.67821946299121527"/>
        </c:manualLayout>
      </c:layout>
      <c:scatterChart>
        <c:scatterStyle val="lineMarker"/>
        <c:varyColors val="0"/>
        <c:ser>
          <c:idx val="0"/>
          <c:order val="0"/>
          <c:tx>
            <c:strRef>
              <c:f>CHAUVIN!$AA$31</c:f>
              <c:strCache>
                <c:ptCount val="1"/>
                <c:pt idx="0">
                  <c:v>densité ajustée</c:v>
                </c:pt>
              </c:strCache>
            </c:strRef>
          </c:tx>
          <c:spPr>
            <a:ln w="19050" cap="rnd">
              <a:noFill/>
              <a:round/>
            </a:ln>
            <a:effectLst/>
          </c:spPr>
          <c:marker>
            <c:symbol val="circle"/>
            <c:size val="5"/>
            <c:spPr>
              <a:solidFill>
                <a:schemeClr val="accent1"/>
              </a:solidFill>
              <a:ln w="9525">
                <a:solidFill>
                  <a:schemeClr val="accent1"/>
                </a:solidFill>
              </a:ln>
              <a:effectLst/>
            </c:spPr>
          </c:marker>
          <c:xVal>
            <c:numRef>
              <c:f>CHAUVIN!$Y$32:$Y$38</c:f>
              <c:numCache>
                <c:formatCode>m/d/yyyy</c:formatCode>
                <c:ptCount val="7"/>
                <c:pt idx="0">
                  <c:v>46039</c:v>
                </c:pt>
                <c:pt idx="1">
                  <c:v>46042</c:v>
                </c:pt>
                <c:pt idx="2">
                  <c:v>46044</c:v>
                </c:pt>
                <c:pt idx="3">
                  <c:v>46045</c:v>
                </c:pt>
                <c:pt idx="4">
                  <c:v>46046</c:v>
                </c:pt>
              </c:numCache>
            </c:numRef>
          </c:xVal>
          <c:yVal>
            <c:numRef>
              <c:f>CHAUVIN!$AA$32:$AA$38</c:f>
              <c:numCache>
                <c:formatCode>0.0</c:formatCode>
                <c:ptCount val="7"/>
                <c:pt idx="0">
                  <c:v>1062.4579317163998</c:v>
                </c:pt>
                <c:pt idx="1">
                  <c:v>1020.9573593599999</c:v>
                </c:pt>
                <c:pt idx="2">
                  <c:v>1018.5851169374999</c:v>
                </c:pt>
                <c:pt idx="3">
                  <c:v>1017.8315141975</c:v>
                </c:pt>
                <c:pt idx="4">
                  <c:v>1016.22875371</c:v>
                </c:pt>
                <c:pt idx="5">
                  <c:v>-3.0930160000000004</c:v>
                </c:pt>
                <c:pt idx="6">
                  <c:v>-3.0930160000000004</c:v>
                </c:pt>
              </c:numCache>
            </c:numRef>
          </c:yVal>
          <c:smooth val="0"/>
          <c:extLst>
            <c:ext xmlns:c16="http://schemas.microsoft.com/office/drawing/2014/chart" uri="{C3380CC4-5D6E-409C-BE32-E72D297353CC}">
              <c16:uniqueId val="{00000000-E837-42C3-B488-3387955895C6}"/>
            </c:ext>
          </c:extLst>
        </c:ser>
        <c:dLbls>
          <c:showLegendKey val="0"/>
          <c:showVal val="0"/>
          <c:showCatName val="0"/>
          <c:showSerName val="0"/>
          <c:showPercent val="0"/>
          <c:showBubbleSize val="0"/>
        </c:dLbls>
        <c:axId val="812724160"/>
        <c:axId val="812724640"/>
      </c:scatterChart>
      <c:valAx>
        <c:axId val="812724160"/>
        <c:scaling>
          <c:orientation val="minMax"/>
        </c:scaling>
        <c:delete val="0"/>
        <c:axPos val="b"/>
        <c:majorGridlines>
          <c:spPr>
            <a:ln w="9525" cap="flat" cmpd="sng" algn="ctr">
              <a:solidFill>
                <a:schemeClr val="tx1">
                  <a:lumMod val="15000"/>
                  <a:lumOff val="85000"/>
                </a:schemeClr>
              </a:solidFill>
              <a:round/>
            </a:ln>
            <a:effectLst/>
          </c:spPr>
        </c:majorGridlines>
        <c:numFmt formatCode="m/d/yyyy"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812724640"/>
        <c:crosses val="autoZero"/>
        <c:crossBetween val="midCat"/>
      </c:valAx>
      <c:valAx>
        <c:axId val="812724640"/>
        <c:scaling>
          <c:orientation val="minMax"/>
          <c:max val="1100"/>
          <c:min val="1000"/>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812724160"/>
        <c:crosses val="autoZero"/>
        <c:crossBetween val="midCat"/>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8796852510361293"/>
          <c:y val="0.16388071673485402"/>
          <c:w val="0.48736136521282841"/>
          <c:h val="0.7643997010097604"/>
        </c:manualLayout>
      </c:layout>
      <c:radarChart>
        <c:radarStyle val="marker"/>
        <c:varyColors val="0"/>
        <c:ser>
          <c:idx val="2"/>
          <c:order val="0"/>
          <c:marker>
            <c:symbol val="none"/>
          </c:marker>
          <c:cat>
            <c:strRef>
              <c:f>'DUVEL 40ans'!$S$3:$X$3</c:f>
              <c:strCache>
                <c:ptCount val="6"/>
                <c:pt idx="0">
                  <c:v>Cl-</c:v>
                </c:pt>
                <c:pt idx="1">
                  <c:v>SO42-</c:v>
                </c:pt>
                <c:pt idx="2">
                  <c:v>Ca2+</c:v>
                </c:pt>
                <c:pt idx="3">
                  <c:v>Mg2-</c:v>
                </c:pt>
                <c:pt idx="4">
                  <c:v>Na+</c:v>
                </c:pt>
                <c:pt idx="5">
                  <c:v>HCO3-</c:v>
                </c:pt>
              </c:strCache>
            </c:strRef>
          </c:cat>
          <c:val>
            <c:numRef>
              <c:f>'DUVEL 40ans'!$S$5:$X$5</c:f>
              <c:numCache>
                <c:formatCode>###" mg/L"</c:formatCode>
                <c:ptCount val="6"/>
                <c:pt idx="0">
                  <c:v>48.4</c:v>
                </c:pt>
                <c:pt idx="1">
                  <c:v>85.9</c:v>
                </c:pt>
                <c:pt idx="2">
                  <c:v>116</c:v>
                </c:pt>
                <c:pt idx="3">
                  <c:v>10.3</c:v>
                </c:pt>
                <c:pt idx="4">
                  <c:v>23.8</c:v>
                </c:pt>
                <c:pt idx="5">
                  <c:v>305</c:v>
                </c:pt>
              </c:numCache>
            </c:numRef>
          </c:val>
          <c:extLst>
            <c:ext xmlns:c16="http://schemas.microsoft.com/office/drawing/2014/chart" uri="{C3380CC4-5D6E-409C-BE32-E72D297353CC}">
              <c16:uniqueId val="{00000000-9592-4B1A-A8C1-BFA4D1EC1D74}"/>
            </c:ext>
          </c:extLst>
        </c:ser>
        <c:ser>
          <c:idx val="3"/>
          <c:order val="1"/>
          <c:spPr>
            <a:ln w="28575" cap="rnd">
              <a:solidFill>
                <a:schemeClr val="accent1"/>
              </a:solidFill>
              <a:round/>
            </a:ln>
            <a:effectLst/>
          </c:spPr>
          <c:marker>
            <c:symbol val="none"/>
          </c:marker>
          <c:cat>
            <c:strRef>
              <c:f>'DUVEL 40ans'!$S$3:$X$3</c:f>
              <c:strCache>
                <c:ptCount val="6"/>
                <c:pt idx="0">
                  <c:v>Cl-</c:v>
                </c:pt>
                <c:pt idx="1">
                  <c:v>SO42-</c:v>
                </c:pt>
                <c:pt idx="2">
                  <c:v>Ca2+</c:v>
                </c:pt>
                <c:pt idx="3">
                  <c:v>Mg2-</c:v>
                </c:pt>
                <c:pt idx="4">
                  <c:v>Na+</c:v>
                </c:pt>
                <c:pt idx="5">
                  <c:v>HCO3-</c:v>
                </c:pt>
              </c:strCache>
            </c:strRef>
          </c:cat>
          <c:val>
            <c:numRef>
              <c:f>'DUVEL 40ans'!$S$9:$X$9</c:f>
              <c:numCache>
                <c:formatCode>General</c:formatCode>
                <c:ptCount val="6"/>
                <c:pt idx="0">
                  <c:v>40</c:v>
                </c:pt>
                <c:pt idx="1">
                  <c:v>0</c:v>
                </c:pt>
                <c:pt idx="2">
                  <c:v>60</c:v>
                </c:pt>
                <c:pt idx="3">
                  <c:v>5</c:v>
                </c:pt>
                <c:pt idx="4">
                  <c:v>10</c:v>
                </c:pt>
                <c:pt idx="5">
                  <c:v>0</c:v>
                </c:pt>
              </c:numCache>
            </c:numRef>
          </c:val>
          <c:extLst>
            <c:ext xmlns:c16="http://schemas.microsoft.com/office/drawing/2014/chart" uri="{C3380CC4-5D6E-409C-BE32-E72D297353CC}">
              <c16:uniqueId val="{00000001-9592-4B1A-A8C1-BFA4D1EC1D74}"/>
            </c:ext>
          </c:extLst>
        </c:ser>
        <c:ser>
          <c:idx val="1"/>
          <c:order val="2"/>
          <c:marker>
            <c:symbol val="none"/>
          </c:marker>
          <c:cat>
            <c:strRef>
              <c:f>'DUVEL 40ans'!$S$3:$X$3</c:f>
              <c:strCache>
                <c:ptCount val="6"/>
                <c:pt idx="0">
                  <c:v>Cl-</c:v>
                </c:pt>
                <c:pt idx="1">
                  <c:v>SO42-</c:v>
                </c:pt>
                <c:pt idx="2">
                  <c:v>Ca2+</c:v>
                </c:pt>
                <c:pt idx="3">
                  <c:v>Mg2-</c:v>
                </c:pt>
                <c:pt idx="4">
                  <c:v>Na+</c:v>
                </c:pt>
                <c:pt idx="5">
                  <c:v>HCO3-</c:v>
                </c:pt>
              </c:strCache>
            </c:strRef>
          </c:cat>
          <c:val>
            <c:numRef>
              <c:f>'DUVEL 40ans'!$S$5:$X$5</c:f>
              <c:numCache>
                <c:formatCode>###" mg/L"</c:formatCode>
                <c:ptCount val="6"/>
                <c:pt idx="0">
                  <c:v>48.4</c:v>
                </c:pt>
                <c:pt idx="1">
                  <c:v>85.9</c:v>
                </c:pt>
                <c:pt idx="2">
                  <c:v>116</c:v>
                </c:pt>
                <c:pt idx="3">
                  <c:v>10.3</c:v>
                </c:pt>
                <c:pt idx="4">
                  <c:v>23.8</c:v>
                </c:pt>
                <c:pt idx="5">
                  <c:v>305</c:v>
                </c:pt>
              </c:numCache>
            </c:numRef>
          </c:val>
          <c:extLst>
            <c:ext xmlns:c16="http://schemas.microsoft.com/office/drawing/2014/chart" uri="{C3380CC4-5D6E-409C-BE32-E72D297353CC}">
              <c16:uniqueId val="{00000002-9592-4B1A-A8C1-BFA4D1EC1D74}"/>
            </c:ext>
          </c:extLst>
        </c:ser>
        <c:ser>
          <c:idx val="0"/>
          <c:order val="3"/>
          <c:spPr>
            <a:ln w="28575" cap="rnd">
              <a:solidFill>
                <a:schemeClr val="accent1"/>
              </a:solidFill>
              <a:round/>
            </a:ln>
            <a:effectLst/>
          </c:spPr>
          <c:marker>
            <c:symbol val="none"/>
          </c:marker>
          <c:cat>
            <c:strRef>
              <c:f>'DUVEL 40ans'!$S$3:$X$3</c:f>
              <c:strCache>
                <c:ptCount val="6"/>
                <c:pt idx="0">
                  <c:v>Cl-</c:v>
                </c:pt>
                <c:pt idx="1">
                  <c:v>SO42-</c:v>
                </c:pt>
                <c:pt idx="2">
                  <c:v>Ca2+</c:v>
                </c:pt>
                <c:pt idx="3">
                  <c:v>Mg2-</c:v>
                </c:pt>
                <c:pt idx="4">
                  <c:v>Na+</c:v>
                </c:pt>
                <c:pt idx="5">
                  <c:v>HCO3-</c:v>
                </c:pt>
              </c:strCache>
            </c:strRef>
          </c:cat>
          <c:val>
            <c:numRef>
              <c:f>'DUVEL 40ans'!$S$10:$X$10</c:f>
              <c:numCache>
                <c:formatCode>General</c:formatCode>
                <c:ptCount val="6"/>
                <c:pt idx="0">
                  <c:v>80</c:v>
                </c:pt>
                <c:pt idx="1">
                  <c:v>50</c:v>
                </c:pt>
                <c:pt idx="2">
                  <c:v>150</c:v>
                </c:pt>
                <c:pt idx="3">
                  <c:v>25</c:v>
                </c:pt>
                <c:pt idx="4">
                  <c:v>40</c:v>
                </c:pt>
                <c:pt idx="5">
                  <c:v>50</c:v>
                </c:pt>
              </c:numCache>
            </c:numRef>
          </c:val>
          <c:extLst>
            <c:ext xmlns:c16="http://schemas.microsoft.com/office/drawing/2014/chart" uri="{C3380CC4-5D6E-409C-BE32-E72D297353CC}">
              <c16:uniqueId val="{00000003-9592-4B1A-A8C1-BFA4D1EC1D74}"/>
            </c:ext>
          </c:extLst>
        </c:ser>
        <c:dLbls>
          <c:showLegendKey val="0"/>
          <c:showVal val="0"/>
          <c:showCatName val="0"/>
          <c:showSerName val="0"/>
          <c:showPercent val="0"/>
          <c:showBubbleSize val="0"/>
        </c:dLbls>
        <c:axId val="1984193183"/>
        <c:axId val="1984194143"/>
      </c:radarChart>
      <c:catAx>
        <c:axId val="19841931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984194143"/>
        <c:crosses val="autoZero"/>
        <c:auto val="1"/>
        <c:lblAlgn val="ctr"/>
        <c:lblOffset val="100"/>
        <c:noMultiLvlLbl val="0"/>
      </c:catAx>
      <c:valAx>
        <c:axId val="1984194143"/>
        <c:scaling>
          <c:orientation val="minMax"/>
        </c:scaling>
        <c:delete val="1"/>
        <c:axPos val="l"/>
        <c:majorGridlines>
          <c:spPr>
            <a:ln w="9525" cap="flat" cmpd="sng" algn="ctr">
              <a:solidFill>
                <a:schemeClr val="tx1">
                  <a:lumMod val="15000"/>
                  <a:lumOff val="85000"/>
                </a:schemeClr>
              </a:solidFill>
              <a:round/>
            </a:ln>
            <a:effectLst/>
          </c:spPr>
        </c:majorGridlines>
        <c:numFmt formatCode="###&quot; mg/L&quot;" sourceLinked="1"/>
        <c:majorTickMark val="none"/>
        <c:minorTickMark val="none"/>
        <c:tickLblPos val="nextTo"/>
        <c:crossAx val="1984193183"/>
        <c:crosses val="autoZero"/>
        <c:crossBetween val="between"/>
      </c:valAx>
    </c:plotArea>
    <c:plotVisOnly val="1"/>
    <c:dispBlanksAs val="gap"/>
    <c:showDLblsOverMax val="0"/>
    <c:extLst/>
  </c:chart>
  <c:txPr>
    <a:bodyPr/>
    <a:lstStyle/>
    <a:p>
      <a:pPr>
        <a:defRPr/>
      </a:pPr>
      <a:endParaRPr lang="fr-FR"/>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Suivi</a:t>
            </a:r>
            <a:r>
              <a:rPr lang="fr-FR" baseline="0"/>
              <a:t> de densité</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manualLayout>
          <c:layoutTarget val="inner"/>
          <c:xMode val="edge"/>
          <c:yMode val="edge"/>
          <c:x val="0.13419536062949897"/>
          <c:y val="0.19340671725701911"/>
          <c:w val="0.76968337785063123"/>
          <c:h val="0.67821946299121527"/>
        </c:manualLayout>
      </c:layout>
      <c:scatterChart>
        <c:scatterStyle val="lineMarker"/>
        <c:varyColors val="0"/>
        <c:ser>
          <c:idx val="0"/>
          <c:order val="0"/>
          <c:tx>
            <c:strRef>
              <c:f>'DUVEL 40ans'!$AA$31</c:f>
              <c:strCache>
                <c:ptCount val="1"/>
                <c:pt idx="0">
                  <c:v>densité ajustée</c:v>
                </c:pt>
              </c:strCache>
            </c:strRef>
          </c:tx>
          <c:spPr>
            <a:ln w="19050" cap="rnd">
              <a:noFill/>
              <a:round/>
            </a:ln>
            <a:effectLst/>
          </c:spPr>
          <c:marker>
            <c:symbol val="circle"/>
            <c:size val="5"/>
            <c:spPr>
              <a:solidFill>
                <a:schemeClr val="accent1"/>
              </a:solidFill>
              <a:ln w="9525">
                <a:solidFill>
                  <a:schemeClr val="accent1"/>
                </a:solidFill>
              </a:ln>
              <a:effectLst/>
            </c:spPr>
          </c:marker>
          <c:xVal>
            <c:numRef>
              <c:f>'DUVEL 40ans'!$Y$32:$Y$38</c:f>
              <c:numCache>
                <c:formatCode>m/d/yyyy</c:formatCode>
                <c:ptCount val="7"/>
              </c:numCache>
            </c:numRef>
          </c:xVal>
          <c:yVal>
            <c:numRef>
              <c:f>'DUVEL 40ans'!$AA$32:$AA$38</c:f>
              <c:numCache>
                <c:formatCode>0.000</c:formatCode>
                <c:ptCount val="7"/>
                <c:pt idx="0">
                  <c:v>-3.0930160000000004</c:v>
                </c:pt>
                <c:pt idx="1">
                  <c:v>-3.0930160000000004</c:v>
                </c:pt>
                <c:pt idx="2">
                  <c:v>-3.0930160000000004</c:v>
                </c:pt>
                <c:pt idx="3">
                  <c:v>-3.0930160000000004</c:v>
                </c:pt>
                <c:pt idx="4">
                  <c:v>-3.0930160000000004</c:v>
                </c:pt>
                <c:pt idx="5">
                  <c:v>-3.0930160000000004</c:v>
                </c:pt>
                <c:pt idx="6">
                  <c:v>-3.0930160000000004</c:v>
                </c:pt>
              </c:numCache>
            </c:numRef>
          </c:yVal>
          <c:smooth val="0"/>
          <c:extLst>
            <c:ext xmlns:c16="http://schemas.microsoft.com/office/drawing/2014/chart" uri="{C3380CC4-5D6E-409C-BE32-E72D297353CC}">
              <c16:uniqueId val="{00000000-7F6C-4AD3-AA40-940B7ACFC5B0}"/>
            </c:ext>
          </c:extLst>
        </c:ser>
        <c:dLbls>
          <c:showLegendKey val="0"/>
          <c:showVal val="0"/>
          <c:showCatName val="0"/>
          <c:showSerName val="0"/>
          <c:showPercent val="0"/>
          <c:showBubbleSize val="0"/>
        </c:dLbls>
        <c:axId val="812724160"/>
        <c:axId val="812724640"/>
      </c:scatterChart>
      <c:valAx>
        <c:axId val="812724160"/>
        <c:scaling>
          <c:orientation val="minMax"/>
        </c:scaling>
        <c:delete val="0"/>
        <c:axPos val="b"/>
        <c:majorGridlines>
          <c:spPr>
            <a:ln w="9525" cap="flat" cmpd="sng" algn="ctr">
              <a:solidFill>
                <a:schemeClr val="tx1">
                  <a:lumMod val="15000"/>
                  <a:lumOff val="85000"/>
                </a:schemeClr>
              </a:solidFill>
              <a:round/>
            </a:ln>
            <a:effectLst/>
          </c:spPr>
        </c:majorGridlines>
        <c:numFmt formatCode="m/d/yyyy"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812724640"/>
        <c:crosses val="autoZero"/>
        <c:crossBetween val="midCat"/>
      </c:valAx>
      <c:valAx>
        <c:axId val="812724640"/>
        <c:scaling>
          <c:orientation val="minMax"/>
          <c:max val="1.1000000000000001"/>
          <c:min val="1"/>
        </c:scaling>
        <c:delete val="0"/>
        <c:axPos val="l"/>
        <c:majorGridlines>
          <c:spPr>
            <a:ln w="9525" cap="flat" cmpd="sng" algn="ctr">
              <a:solidFill>
                <a:schemeClr val="tx1">
                  <a:lumMod val="15000"/>
                  <a:lumOff val="85000"/>
                </a:schemeClr>
              </a:solidFill>
              <a:round/>
            </a:ln>
            <a:effectLst/>
          </c:spPr>
        </c:majorGridlines>
        <c:numFmt formatCode="0.000"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812724160"/>
        <c:crosses val="autoZero"/>
        <c:crossBetween val="midCat"/>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8796852510361293"/>
          <c:y val="0.16388071673485402"/>
          <c:w val="0.48736136521282841"/>
          <c:h val="0.7643997010097604"/>
        </c:manualLayout>
      </c:layout>
      <c:radarChart>
        <c:radarStyle val="marker"/>
        <c:varyColors val="0"/>
        <c:ser>
          <c:idx val="2"/>
          <c:order val="0"/>
          <c:marker>
            <c:symbol val="none"/>
          </c:marker>
          <c:cat>
            <c:strRef>
              <c:f>'Carrot Wheat beer'!$S$3:$X$3</c:f>
              <c:strCache>
                <c:ptCount val="6"/>
                <c:pt idx="0">
                  <c:v>Cl-</c:v>
                </c:pt>
                <c:pt idx="1">
                  <c:v>SO42-</c:v>
                </c:pt>
                <c:pt idx="2">
                  <c:v>Ca2+</c:v>
                </c:pt>
                <c:pt idx="3">
                  <c:v>Mg2-</c:v>
                </c:pt>
                <c:pt idx="4">
                  <c:v>Na+</c:v>
                </c:pt>
                <c:pt idx="5">
                  <c:v>HCO3-</c:v>
                </c:pt>
              </c:strCache>
            </c:strRef>
          </c:cat>
          <c:val>
            <c:numRef>
              <c:f>'Carrot Wheat beer'!$S$5:$X$5</c:f>
              <c:numCache>
                <c:formatCode>###" mg/L"</c:formatCode>
                <c:ptCount val="6"/>
                <c:pt idx="0">
                  <c:v>48.4</c:v>
                </c:pt>
                <c:pt idx="1">
                  <c:v>85.9</c:v>
                </c:pt>
                <c:pt idx="2">
                  <c:v>116</c:v>
                </c:pt>
                <c:pt idx="3">
                  <c:v>10.3</c:v>
                </c:pt>
                <c:pt idx="4">
                  <c:v>23.8</c:v>
                </c:pt>
                <c:pt idx="5">
                  <c:v>305</c:v>
                </c:pt>
              </c:numCache>
            </c:numRef>
          </c:val>
          <c:extLst>
            <c:ext xmlns:c16="http://schemas.microsoft.com/office/drawing/2014/chart" uri="{C3380CC4-5D6E-409C-BE32-E72D297353CC}">
              <c16:uniqueId val="{00000000-759B-4334-8C7D-67F136845BF3}"/>
            </c:ext>
          </c:extLst>
        </c:ser>
        <c:ser>
          <c:idx val="3"/>
          <c:order val="1"/>
          <c:spPr>
            <a:ln w="28575" cap="rnd">
              <a:solidFill>
                <a:schemeClr val="accent1"/>
              </a:solidFill>
              <a:round/>
            </a:ln>
            <a:effectLst/>
          </c:spPr>
          <c:marker>
            <c:symbol val="none"/>
          </c:marker>
          <c:cat>
            <c:strRef>
              <c:f>'Carrot Wheat beer'!$S$3:$X$3</c:f>
              <c:strCache>
                <c:ptCount val="6"/>
                <c:pt idx="0">
                  <c:v>Cl-</c:v>
                </c:pt>
                <c:pt idx="1">
                  <c:v>SO42-</c:v>
                </c:pt>
                <c:pt idx="2">
                  <c:v>Ca2+</c:v>
                </c:pt>
                <c:pt idx="3">
                  <c:v>Mg2-</c:v>
                </c:pt>
                <c:pt idx="4">
                  <c:v>Na+</c:v>
                </c:pt>
                <c:pt idx="5">
                  <c:v>HCO3-</c:v>
                </c:pt>
              </c:strCache>
            </c:strRef>
          </c:cat>
          <c:val>
            <c:numRef>
              <c:f>'Carrot Wheat beer'!$S$9:$X$9</c:f>
              <c:numCache>
                <c:formatCode>General</c:formatCode>
                <c:ptCount val="6"/>
                <c:pt idx="0">
                  <c:v>20</c:v>
                </c:pt>
                <c:pt idx="1">
                  <c:v>0</c:v>
                </c:pt>
                <c:pt idx="2">
                  <c:v>40</c:v>
                </c:pt>
                <c:pt idx="3">
                  <c:v>5</c:v>
                </c:pt>
                <c:pt idx="4">
                  <c:v>0</c:v>
                </c:pt>
                <c:pt idx="5">
                  <c:v>0</c:v>
                </c:pt>
              </c:numCache>
            </c:numRef>
          </c:val>
          <c:extLst>
            <c:ext xmlns:c16="http://schemas.microsoft.com/office/drawing/2014/chart" uri="{C3380CC4-5D6E-409C-BE32-E72D297353CC}">
              <c16:uniqueId val="{00000001-759B-4334-8C7D-67F136845BF3}"/>
            </c:ext>
          </c:extLst>
        </c:ser>
        <c:ser>
          <c:idx val="1"/>
          <c:order val="2"/>
          <c:marker>
            <c:symbol val="none"/>
          </c:marker>
          <c:cat>
            <c:strRef>
              <c:f>'Carrot Wheat beer'!$S$3:$X$3</c:f>
              <c:strCache>
                <c:ptCount val="6"/>
                <c:pt idx="0">
                  <c:v>Cl-</c:v>
                </c:pt>
                <c:pt idx="1">
                  <c:v>SO42-</c:v>
                </c:pt>
                <c:pt idx="2">
                  <c:v>Ca2+</c:v>
                </c:pt>
                <c:pt idx="3">
                  <c:v>Mg2-</c:v>
                </c:pt>
                <c:pt idx="4">
                  <c:v>Na+</c:v>
                </c:pt>
                <c:pt idx="5">
                  <c:v>HCO3-</c:v>
                </c:pt>
              </c:strCache>
            </c:strRef>
          </c:cat>
          <c:val>
            <c:numRef>
              <c:f>'Carrot Wheat beer'!$S$5:$X$5</c:f>
              <c:numCache>
                <c:formatCode>###" mg/L"</c:formatCode>
                <c:ptCount val="6"/>
                <c:pt idx="0">
                  <c:v>48.4</c:v>
                </c:pt>
                <c:pt idx="1">
                  <c:v>85.9</c:v>
                </c:pt>
                <c:pt idx="2">
                  <c:v>116</c:v>
                </c:pt>
                <c:pt idx="3">
                  <c:v>10.3</c:v>
                </c:pt>
                <c:pt idx="4">
                  <c:v>23.8</c:v>
                </c:pt>
                <c:pt idx="5">
                  <c:v>305</c:v>
                </c:pt>
              </c:numCache>
            </c:numRef>
          </c:val>
          <c:extLst>
            <c:ext xmlns:c16="http://schemas.microsoft.com/office/drawing/2014/chart" uri="{C3380CC4-5D6E-409C-BE32-E72D297353CC}">
              <c16:uniqueId val="{00000002-759B-4334-8C7D-67F136845BF3}"/>
            </c:ext>
          </c:extLst>
        </c:ser>
        <c:ser>
          <c:idx val="0"/>
          <c:order val="3"/>
          <c:spPr>
            <a:ln w="28575" cap="rnd">
              <a:solidFill>
                <a:schemeClr val="accent1"/>
              </a:solidFill>
              <a:round/>
            </a:ln>
            <a:effectLst/>
          </c:spPr>
          <c:marker>
            <c:symbol val="none"/>
          </c:marker>
          <c:cat>
            <c:strRef>
              <c:f>'Carrot Wheat beer'!$S$3:$X$3</c:f>
              <c:strCache>
                <c:ptCount val="6"/>
                <c:pt idx="0">
                  <c:v>Cl-</c:v>
                </c:pt>
                <c:pt idx="1">
                  <c:v>SO42-</c:v>
                </c:pt>
                <c:pt idx="2">
                  <c:v>Ca2+</c:v>
                </c:pt>
                <c:pt idx="3">
                  <c:v>Mg2-</c:v>
                </c:pt>
                <c:pt idx="4">
                  <c:v>Na+</c:v>
                </c:pt>
                <c:pt idx="5">
                  <c:v>HCO3-</c:v>
                </c:pt>
              </c:strCache>
            </c:strRef>
          </c:cat>
          <c:val>
            <c:numRef>
              <c:f>'Carrot Wheat beer'!$S$10:$X$10</c:f>
              <c:numCache>
                <c:formatCode>General</c:formatCode>
                <c:ptCount val="6"/>
                <c:pt idx="0">
                  <c:v>40</c:v>
                </c:pt>
                <c:pt idx="1">
                  <c:v>30</c:v>
                </c:pt>
                <c:pt idx="2">
                  <c:v>80</c:v>
                </c:pt>
                <c:pt idx="3">
                  <c:v>20</c:v>
                </c:pt>
                <c:pt idx="4">
                  <c:v>20</c:v>
                </c:pt>
                <c:pt idx="5">
                  <c:v>30</c:v>
                </c:pt>
              </c:numCache>
            </c:numRef>
          </c:val>
          <c:extLst>
            <c:ext xmlns:c16="http://schemas.microsoft.com/office/drawing/2014/chart" uri="{C3380CC4-5D6E-409C-BE32-E72D297353CC}">
              <c16:uniqueId val="{00000003-759B-4334-8C7D-67F136845BF3}"/>
            </c:ext>
          </c:extLst>
        </c:ser>
        <c:dLbls>
          <c:showLegendKey val="0"/>
          <c:showVal val="0"/>
          <c:showCatName val="0"/>
          <c:showSerName val="0"/>
          <c:showPercent val="0"/>
          <c:showBubbleSize val="0"/>
        </c:dLbls>
        <c:axId val="1984193183"/>
        <c:axId val="1984194143"/>
      </c:radarChart>
      <c:catAx>
        <c:axId val="19841931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984194143"/>
        <c:crosses val="autoZero"/>
        <c:auto val="1"/>
        <c:lblAlgn val="ctr"/>
        <c:lblOffset val="100"/>
        <c:noMultiLvlLbl val="0"/>
      </c:catAx>
      <c:valAx>
        <c:axId val="1984194143"/>
        <c:scaling>
          <c:orientation val="minMax"/>
        </c:scaling>
        <c:delete val="1"/>
        <c:axPos val="l"/>
        <c:majorGridlines>
          <c:spPr>
            <a:ln w="9525" cap="flat" cmpd="sng" algn="ctr">
              <a:solidFill>
                <a:schemeClr val="tx1">
                  <a:lumMod val="15000"/>
                  <a:lumOff val="85000"/>
                </a:schemeClr>
              </a:solidFill>
              <a:round/>
            </a:ln>
            <a:effectLst/>
          </c:spPr>
        </c:majorGridlines>
        <c:numFmt formatCode="###&quot; mg/L&quot;" sourceLinked="1"/>
        <c:majorTickMark val="none"/>
        <c:minorTickMark val="none"/>
        <c:tickLblPos val="nextTo"/>
        <c:crossAx val="1984193183"/>
        <c:crosses val="autoZero"/>
        <c:crossBetween val="between"/>
      </c:valAx>
    </c:plotArea>
    <c:plotVisOnly val="1"/>
    <c:dispBlanksAs val="gap"/>
    <c:showDLblsOverMax val="0"/>
    <c:extLst/>
  </c:chart>
  <c:txPr>
    <a:bodyPr/>
    <a:lstStyle/>
    <a:p>
      <a:pPr>
        <a:defRPr/>
      </a:pPr>
      <a:endParaRPr lang="fr-FR"/>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r-FR"/>
              <a:t>Suivi</a:t>
            </a:r>
            <a:r>
              <a:rPr lang="fr-FR" baseline="0"/>
              <a:t> de densité</a:t>
            </a:r>
            <a:endParaRPr lang="fr-F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r-FR"/>
        </a:p>
      </c:txPr>
    </c:title>
    <c:autoTitleDeleted val="0"/>
    <c:plotArea>
      <c:layout>
        <c:manualLayout>
          <c:layoutTarget val="inner"/>
          <c:xMode val="edge"/>
          <c:yMode val="edge"/>
          <c:x val="0.13419536062949897"/>
          <c:y val="0.19340671725701911"/>
          <c:w val="0.76968337785063123"/>
          <c:h val="0.67821946299121527"/>
        </c:manualLayout>
      </c:layout>
      <c:scatterChart>
        <c:scatterStyle val="lineMarker"/>
        <c:varyColors val="0"/>
        <c:ser>
          <c:idx val="0"/>
          <c:order val="0"/>
          <c:tx>
            <c:strRef>
              <c:f>'Carrot Wheat beer'!$AA$31</c:f>
              <c:strCache>
                <c:ptCount val="1"/>
                <c:pt idx="0">
                  <c:v>densité ajustée</c:v>
                </c:pt>
              </c:strCache>
            </c:strRef>
          </c:tx>
          <c:spPr>
            <a:ln w="19050" cap="rnd">
              <a:noFill/>
              <a:round/>
            </a:ln>
            <a:effectLst/>
          </c:spPr>
          <c:marker>
            <c:symbol val="circle"/>
            <c:size val="5"/>
            <c:spPr>
              <a:solidFill>
                <a:schemeClr val="accent1"/>
              </a:solidFill>
              <a:ln w="9525">
                <a:solidFill>
                  <a:schemeClr val="accent1"/>
                </a:solidFill>
              </a:ln>
              <a:effectLst/>
            </c:spPr>
          </c:marker>
          <c:xVal>
            <c:numRef>
              <c:f>'Carrot Wheat beer'!$Y$32:$Y$38</c:f>
              <c:numCache>
                <c:formatCode>m/d/yyyy</c:formatCode>
                <c:ptCount val="7"/>
              </c:numCache>
            </c:numRef>
          </c:xVal>
          <c:yVal>
            <c:numRef>
              <c:f>'Carrot Wheat beer'!$AA$32:$AA$38</c:f>
              <c:numCache>
                <c:formatCode>0.000</c:formatCode>
                <c:ptCount val="7"/>
                <c:pt idx="0">
                  <c:v>-3.0930160000000004</c:v>
                </c:pt>
                <c:pt idx="1">
                  <c:v>-3.0930160000000004</c:v>
                </c:pt>
                <c:pt idx="2">
                  <c:v>-3.0930160000000004</c:v>
                </c:pt>
                <c:pt idx="3">
                  <c:v>-3.0930160000000004</c:v>
                </c:pt>
                <c:pt idx="4">
                  <c:v>-3.0930160000000004</c:v>
                </c:pt>
                <c:pt idx="5">
                  <c:v>-3.0930160000000004</c:v>
                </c:pt>
                <c:pt idx="6">
                  <c:v>-3.0930160000000004</c:v>
                </c:pt>
              </c:numCache>
            </c:numRef>
          </c:yVal>
          <c:smooth val="0"/>
          <c:extLst>
            <c:ext xmlns:c16="http://schemas.microsoft.com/office/drawing/2014/chart" uri="{C3380CC4-5D6E-409C-BE32-E72D297353CC}">
              <c16:uniqueId val="{00000000-454C-463C-B9B2-458DCB823FDE}"/>
            </c:ext>
          </c:extLst>
        </c:ser>
        <c:dLbls>
          <c:showLegendKey val="0"/>
          <c:showVal val="0"/>
          <c:showCatName val="0"/>
          <c:showSerName val="0"/>
          <c:showPercent val="0"/>
          <c:showBubbleSize val="0"/>
        </c:dLbls>
        <c:axId val="812724160"/>
        <c:axId val="812724640"/>
      </c:scatterChart>
      <c:valAx>
        <c:axId val="812724160"/>
        <c:scaling>
          <c:orientation val="minMax"/>
        </c:scaling>
        <c:delete val="0"/>
        <c:axPos val="b"/>
        <c:majorGridlines>
          <c:spPr>
            <a:ln w="9525" cap="flat" cmpd="sng" algn="ctr">
              <a:solidFill>
                <a:schemeClr val="tx1">
                  <a:lumMod val="15000"/>
                  <a:lumOff val="85000"/>
                </a:schemeClr>
              </a:solidFill>
              <a:round/>
            </a:ln>
            <a:effectLst/>
          </c:spPr>
        </c:majorGridlines>
        <c:numFmt formatCode="m/d/yyyy"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812724640"/>
        <c:crosses val="autoZero"/>
        <c:crossBetween val="midCat"/>
      </c:valAx>
      <c:valAx>
        <c:axId val="812724640"/>
        <c:scaling>
          <c:orientation val="minMax"/>
          <c:max val="1.1000000000000001"/>
          <c:min val="1"/>
        </c:scaling>
        <c:delete val="0"/>
        <c:axPos val="l"/>
        <c:majorGridlines>
          <c:spPr>
            <a:ln w="9525" cap="flat" cmpd="sng" algn="ctr">
              <a:solidFill>
                <a:schemeClr val="tx1">
                  <a:lumMod val="15000"/>
                  <a:lumOff val="85000"/>
                </a:schemeClr>
              </a:solidFill>
              <a:round/>
            </a:ln>
            <a:effectLst/>
          </c:spPr>
        </c:majorGridlines>
        <c:numFmt formatCode="0.000"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812724160"/>
        <c:crosses val="autoZero"/>
        <c:crossBetween val="midCat"/>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316707976418147"/>
          <c:y val="0.18286449498647178"/>
          <c:w val="0.79244268924537897"/>
          <c:h val="0.6667456990645787"/>
        </c:manualLayout>
      </c:layout>
      <c:scatterChart>
        <c:scatterStyle val="lineMarker"/>
        <c:varyColors val="0"/>
        <c:ser>
          <c:idx val="0"/>
          <c:order val="0"/>
          <c:spPr>
            <a:ln w="19050" cap="rnd">
              <a:noFill/>
              <a:round/>
            </a:ln>
            <a:effectLst/>
          </c:spPr>
          <c:marker>
            <c:symbol val="circle"/>
            <c:size val="5"/>
            <c:spPr>
              <a:solidFill>
                <a:schemeClr val="accent1"/>
              </a:solidFill>
              <a:ln w="9525">
                <a:solidFill>
                  <a:schemeClr val="accent1"/>
                </a:solidFill>
              </a:ln>
              <a:effectLst/>
            </c:spPr>
          </c:marker>
          <c:trendline>
            <c:spPr>
              <a:ln w="19050" cap="rnd">
                <a:solidFill>
                  <a:schemeClr val="accent1"/>
                </a:solidFill>
                <a:prstDash val="sysDot"/>
              </a:ln>
              <a:effectLst/>
            </c:spPr>
            <c:trendlineType val="linear"/>
            <c:dispRSqr val="0"/>
            <c:dispEq val="1"/>
            <c:trendlineLbl>
              <c:numFmt formatCode="General" sourceLinked="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trendlineLbl>
          </c:trendline>
          <c:xVal>
            <c:numRef>
              <c:f>INGREDIENTS!$I$47:$I$51</c:f>
              <c:numCache>
                <c:formatCode>General</c:formatCode>
                <c:ptCount val="5"/>
                <c:pt idx="0">
                  <c:v>2</c:v>
                </c:pt>
                <c:pt idx="1">
                  <c:v>2.2000000000000002</c:v>
                </c:pt>
                <c:pt idx="2">
                  <c:v>2.5</c:v>
                </c:pt>
                <c:pt idx="3">
                  <c:v>3</c:v>
                </c:pt>
                <c:pt idx="4">
                  <c:v>3.5</c:v>
                </c:pt>
              </c:numCache>
            </c:numRef>
          </c:xVal>
          <c:yVal>
            <c:numRef>
              <c:f>INGREDIENTS!$J$47:$J$51</c:f>
              <c:numCache>
                <c:formatCode>General</c:formatCode>
                <c:ptCount val="5"/>
                <c:pt idx="0">
                  <c:v>5</c:v>
                </c:pt>
                <c:pt idx="1">
                  <c:v>6</c:v>
                </c:pt>
                <c:pt idx="2">
                  <c:v>7</c:v>
                </c:pt>
                <c:pt idx="3">
                  <c:v>9</c:v>
                </c:pt>
                <c:pt idx="4">
                  <c:v>11</c:v>
                </c:pt>
              </c:numCache>
            </c:numRef>
          </c:yVal>
          <c:smooth val="0"/>
          <c:extLst>
            <c:ext xmlns:c16="http://schemas.microsoft.com/office/drawing/2014/chart" uri="{C3380CC4-5D6E-409C-BE32-E72D297353CC}">
              <c16:uniqueId val="{00000000-530A-4DE1-BD0B-75BF73FABBA1}"/>
            </c:ext>
          </c:extLst>
        </c:ser>
        <c:dLbls>
          <c:showLegendKey val="0"/>
          <c:showVal val="0"/>
          <c:showCatName val="0"/>
          <c:showSerName val="0"/>
          <c:showPercent val="0"/>
          <c:showBubbleSize val="0"/>
        </c:dLbls>
        <c:axId val="1578023376"/>
        <c:axId val="1578023856"/>
      </c:scatterChart>
      <c:valAx>
        <c:axId val="1578023376"/>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578023856"/>
        <c:crosses val="autoZero"/>
        <c:crossBetween val="midCat"/>
      </c:valAx>
      <c:valAx>
        <c:axId val="157802385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r-FR"/>
          </a:p>
        </c:txPr>
        <c:crossAx val="1578023376"/>
        <c:crosses val="autoZero"/>
        <c:crossBetween val="midCat"/>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fr-FR"/>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31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8" Type="http://schemas.openxmlformats.org/officeDocument/2006/relationships/image" Target="../media/image4.png"/><Relationship Id="rId13" Type="http://schemas.openxmlformats.org/officeDocument/2006/relationships/hyperlink" Target="#ChouffLeurre!A1"/><Relationship Id="rId18" Type="http://schemas.openxmlformats.org/officeDocument/2006/relationships/image" Target="../media/image9.png"/><Relationship Id="rId3" Type="http://schemas.openxmlformats.org/officeDocument/2006/relationships/hyperlink" Target="#TYTYMUT!A1"/><Relationship Id="rId21" Type="http://schemas.openxmlformats.org/officeDocument/2006/relationships/hyperlink" Target="#Convertisseur!A1"/><Relationship Id="rId7" Type="http://schemas.openxmlformats.org/officeDocument/2006/relationships/hyperlink" Target="#'May the FAUVE'!A1"/><Relationship Id="rId12" Type="http://schemas.openxmlformats.org/officeDocument/2006/relationships/image" Target="../media/image6.png"/><Relationship Id="rId17" Type="http://schemas.openxmlformats.org/officeDocument/2006/relationships/hyperlink" Target="#SMASH!A1"/><Relationship Id="rId2" Type="http://schemas.openxmlformats.org/officeDocument/2006/relationships/image" Target="../media/image1.png"/><Relationship Id="rId16" Type="http://schemas.openxmlformats.org/officeDocument/2006/relationships/image" Target="../media/image8.png"/><Relationship Id="rId20" Type="http://schemas.openxmlformats.org/officeDocument/2006/relationships/hyperlink" Target="#INGREDIENTS!A1"/><Relationship Id="rId1" Type="http://schemas.openxmlformats.org/officeDocument/2006/relationships/hyperlink" Target="#CHAUVIN!A1"/><Relationship Id="rId6" Type="http://schemas.openxmlformats.org/officeDocument/2006/relationships/image" Target="../media/image3.png"/><Relationship Id="rId11" Type="http://schemas.openxmlformats.org/officeDocument/2006/relationships/hyperlink" Target="#'HOPI NEW YEAR'!A1"/><Relationship Id="rId5" Type="http://schemas.openxmlformats.org/officeDocument/2006/relationships/hyperlink" Target="#'A NEW HOP'!A1"/><Relationship Id="rId15" Type="http://schemas.openxmlformats.org/officeDocument/2006/relationships/hyperlink" Target="#FAUVE!A1"/><Relationship Id="rId10" Type="http://schemas.openxmlformats.org/officeDocument/2006/relationships/image" Target="../media/image5.png"/><Relationship Id="rId19" Type="http://schemas.openxmlformats.org/officeDocument/2006/relationships/image" Target="../media/image10.png"/><Relationship Id="rId4" Type="http://schemas.openxmlformats.org/officeDocument/2006/relationships/image" Target="../media/image2.png"/><Relationship Id="rId9" Type="http://schemas.openxmlformats.org/officeDocument/2006/relationships/hyperlink" Target="#'WEDDING BREW'!A1"/><Relationship Id="rId14" Type="http://schemas.openxmlformats.org/officeDocument/2006/relationships/image" Target="../media/image7.png"/><Relationship Id="rId22" Type="http://schemas.openxmlformats.org/officeDocument/2006/relationships/hyperlink" Target="#STYLES!A1"/></Relationships>
</file>

<file path=xl/drawings/_rels/drawing2.xml.rels><?xml version="1.0" encoding="UTF-8" standalone="yes"?>
<Relationships xmlns="http://schemas.openxmlformats.org/package/2006/relationships"><Relationship Id="rId3" Type="http://schemas.openxmlformats.org/officeDocument/2006/relationships/hyperlink" Target="#INGREDIENTS!A1"/><Relationship Id="rId2" Type="http://schemas.openxmlformats.org/officeDocument/2006/relationships/hyperlink" Target="#'HOME PAGE'!A1"/><Relationship Id="rId1" Type="http://schemas.openxmlformats.org/officeDocument/2006/relationships/chart" Target="../charts/chart1.xml"/><Relationship Id="rId5" Type="http://schemas.openxmlformats.org/officeDocument/2006/relationships/hyperlink" Target="#STYLES!A1"/><Relationship Id="rId4" Type="http://schemas.openxmlformats.org/officeDocument/2006/relationships/hyperlink" Target="#Convertisseur!A1"/></Relationships>
</file>

<file path=xl/drawings/_rels/drawing3.xml.rels><?xml version="1.0" encoding="UTF-8" standalone="yes"?>
<Relationships xmlns="http://schemas.openxmlformats.org/package/2006/relationships"><Relationship Id="rId3" Type="http://schemas.openxmlformats.org/officeDocument/2006/relationships/hyperlink" Target="#'HOME PAGE'!A1"/><Relationship Id="rId2" Type="http://schemas.openxmlformats.org/officeDocument/2006/relationships/chart" Target="../charts/chart3.xml"/><Relationship Id="rId1" Type="http://schemas.openxmlformats.org/officeDocument/2006/relationships/chart" Target="../charts/chart2.xml"/><Relationship Id="rId6" Type="http://schemas.openxmlformats.org/officeDocument/2006/relationships/hyperlink" Target="#STYLES!A1"/><Relationship Id="rId5" Type="http://schemas.openxmlformats.org/officeDocument/2006/relationships/hyperlink" Target="#Convertisseur!A1"/><Relationship Id="rId4" Type="http://schemas.openxmlformats.org/officeDocument/2006/relationships/hyperlink" Target="#INGREDIENTS!A1"/></Relationships>
</file>

<file path=xl/drawings/_rels/drawing4.xml.rels><?xml version="1.0" encoding="UTF-8" standalone="yes"?>
<Relationships xmlns="http://schemas.openxmlformats.org/package/2006/relationships"><Relationship Id="rId3" Type="http://schemas.openxmlformats.org/officeDocument/2006/relationships/hyperlink" Target="#INGREDIENTS!A1"/><Relationship Id="rId2" Type="http://schemas.openxmlformats.org/officeDocument/2006/relationships/hyperlink" Target="#'HOME PAGE'!A1"/><Relationship Id="rId1" Type="http://schemas.openxmlformats.org/officeDocument/2006/relationships/chart" Target="../charts/chart4.xml"/><Relationship Id="rId5" Type="http://schemas.openxmlformats.org/officeDocument/2006/relationships/hyperlink" Target="#STYLES!A1"/><Relationship Id="rId4" Type="http://schemas.openxmlformats.org/officeDocument/2006/relationships/hyperlink" Target="#Convertisseur!A1"/></Relationships>
</file>

<file path=xl/drawings/_rels/drawing5.xml.rels><?xml version="1.0" encoding="UTF-8" standalone="yes"?>
<Relationships xmlns="http://schemas.openxmlformats.org/package/2006/relationships"><Relationship Id="rId3" Type="http://schemas.openxmlformats.org/officeDocument/2006/relationships/hyperlink" Target="#INGREDIENTS!A1"/><Relationship Id="rId2" Type="http://schemas.openxmlformats.org/officeDocument/2006/relationships/hyperlink" Target="#'HOME PAGE'!A1"/><Relationship Id="rId1" Type="http://schemas.openxmlformats.org/officeDocument/2006/relationships/chart" Target="../charts/chart5.xml"/><Relationship Id="rId5" Type="http://schemas.openxmlformats.org/officeDocument/2006/relationships/hyperlink" Target="#STYLES!A1"/><Relationship Id="rId4" Type="http://schemas.openxmlformats.org/officeDocument/2006/relationships/hyperlink" Target="#Convertisseur!A1"/></Relationships>
</file>

<file path=xl/drawings/_rels/drawing6.xml.rels><?xml version="1.0" encoding="UTF-8" standalone="yes"?>
<Relationships xmlns="http://schemas.openxmlformats.org/package/2006/relationships"><Relationship Id="rId3" Type="http://schemas.openxmlformats.org/officeDocument/2006/relationships/hyperlink" Target="#INGREDIENTS!A1"/><Relationship Id="rId2" Type="http://schemas.openxmlformats.org/officeDocument/2006/relationships/hyperlink" Target="#'HOME PAGE'!A1"/><Relationship Id="rId1" Type="http://schemas.openxmlformats.org/officeDocument/2006/relationships/chart" Target="../charts/chart6.xml"/><Relationship Id="rId5" Type="http://schemas.openxmlformats.org/officeDocument/2006/relationships/hyperlink" Target="#STYLES!A1"/><Relationship Id="rId4" Type="http://schemas.openxmlformats.org/officeDocument/2006/relationships/hyperlink" Target="#Convertisseur!A1"/></Relationships>
</file>

<file path=xl/drawings/_rels/drawing7.xml.rels><?xml version="1.0" encoding="UTF-8" standalone="yes"?>
<Relationships xmlns="http://schemas.openxmlformats.org/package/2006/relationships"><Relationship Id="rId3" Type="http://schemas.openxmlformats.org/officeDocument/2006/relationships/hyperlink" Target="#INGREDIENTS!A1"/><Relationship Id="rId2" Type="http://schemas.openxmlformats.org/officeDocument/2006/relationships/hyperlink" Target="#'HOME PAGE'!A1"/><Relationship Id="rId1" Type="http://schemas.openxmlformats.org/officeDocument/2006/relationships/chart" Target="../charts/chart7.xml"/><Relationship Id="rId5" Type="http://schemas.openxmlformats.org/officeDocument/2006/relationships/hyperlink" Target="#STYLES!A1"/><Relationship Id="rId4" Type="http://schemas.openxmlformats.org/officeDocument/2006/relationships/hyperlink" Target="#Convertisseur!A1"/></Relationships>
</file>

<file path=xl/drawings/_rels/drawing8.xml.rels><?xml version="1.0" encoding="UTF-8" standalone="yes"?>
<Relationships xmlns="http://schemas.openxmlformats.org/package/2006/relationships"><Relationship Id="rId8" Type="http://schemas.openxmlformats.org/officeDocument/2006/relationships/image" Target="../media/image16.svg"/><Relationship Id="rId13" Type="http://schemas.openxmlformats.org/officeDocument/2006/relationships/image" Target="../media/image21.png"/><Relationship Id="rId18" Type="http://schemas.openxmlformats.org/officeDocument/2006/relationships/image" Target="../media/image26.svg"/><Relationship Id="rId26" Type="http://schemas.openxmlformats.org/officeDocument/2006/relationships/hyperlink" Target="#STYLES!A1"/><Relationship Id="rId3" Type="http://schemas.openxmlformats.org/officeDocument/2006/relationships/image" Target="../media/image11.png"/><Relationship Id="rId21" Type="http://schemas.openxmlformats.org/officeDocument/2006/relationships/image" Target="../media/image29.png"/><Relationship Id="rId7" Type="http://schemas.openxmlformats.org/officeDocument/2006/relationships/image" Target="../media/image15.png"/><Relationship Id="rId12" Type="http://schemas.openxmlformats.org/officeDocument/2006/relationships/image" Target="../media/image20.svg"/><Relationship Id="rId17" Type="http://schemas.openxmlformats.org/officeDocument/2006/relationships/image" Target="../media/image25.png"/><Relationship Id="rId25" Type="http://schemas.openxmlformats.org/officeDocument/2006/relationships/hyperlink" Target="#Convertisseur!A1"/><Relationship Id="rId2" Type="http://schemas.openxmlformats.org/officeDocument/2006/relationships/chart" Target="../charts/chart9.xml"/><Relationship Id="rId16" Type="http://schemas.openxmlformats.org/officeDocument/2006/relationships/image" Target="../media/image24.svg"/><Relationship Id="rId20" Type="http://schemas.openxmlformats.org/officeDocument/2006/relationships/image" Target="../media/image28.svg"/><Relationship Id="rId1" Type="http://schemas.openxmlformats.org/officeDocument/2006/relationships/chart" Target="../charts/chart8.xml"/><Relationship Id="rId6" Type="http://schemas.openxmlformats.org/officeDocument/2006/relationships/image" Target="../media/image14.svg"/><Relationship Id="rId11" Type="http://schemas.openxmlformats.org/officeDocument/2006/relationships/image" Target="../media/image19.png"/><Relationship Id="rId24" Type="http://schemas.openxmlformats.org/officeDocument/2006/relationships/hyperlink" Target="#INGREDIENTS!A1"/><Relationship Id="rId5" Type="http://schemas.openxmlformats.org/officeDocument/2006/relationships/image" Target="../media/image13.png"/><Relationship Id="rId15" Type="http://schemas.openxmlformats.org/officeDocument/2006/relationships/image" Target="../media/image23.png"/><Relationship Id="rId23" Type="http://schemas.openxmlformats.org/officeDocument/2006/relationships/hyperlink" Target="#'HOME PAGE'!A1"/><Relationship Id="rId10" Type="http://schemas.openxmlformats.org/officeDocument/2006/relationships/image" Target="../media/image18.svg"/><Relationship Id="rId19" Type="http://schemas.openxmlformats.org/officeDocument/2006/relationships/image" Target="../media/image27.png"/><Relationship Id="rId4" Type="http://schemas.openxmlformats.org/officeDocument/2006/relationships/image" Target="../media/image12.svg"/><Relationship Id="rId9" Type="http://schemas.openxmlformats.org/officeDocument/2006/relationships/image" Target="../media/image17.png"/><Relationship Id="rId14" Type="http://schemas.openxmlformats.org/officeDocument/2006/relationships/image" Target="../media/image22.svg"/><Relationship Id="rId22" Type="http://schemas.openxmlformats.org/officeDocument/2006/relationships/image" Target="../media/image30.svg"/></Relationships>
</file>

<file path=xl/drawings/_rels/drawing9.xml.rels><?xml version="1.0" encoding="UTF-8" standalone="yes"?>
<Relationships xmlns="http://schemas.openxmlformats.org/package/2006/relationships"><Relationship Id="rId3" Type="http://schemas.openxmlformats.org/officeDocument/2006/relationships/hyperlink" Target="#INGREDIENTS!A1"/><Relationship Id="rId2" Type="http://schemas.openxmlformats.org/officeDocument/2006/relationships/hyperlink" Target="#'HOME PAGE'!A1"/><Relationship Id="rId1" Type="http://schemas.openxmlformats.org/officeDocument/2006/relationships/chart" Target="../charts/chart10.xml"/><Relationship Id="rId5" Type="http://schemas.openxmlformats.org/officeDocument/2006/relationships/hyperlink" Target="#STYLES!A1"/><Relationship Id="rId4" Type="http://schemas.openxmlformats.org/officeDocument/2006/relationships/hyperlink" Target="#Convertisseur!A1"/></Relationships>
</file>

<file path=xl/drawings/_rels/drawing10.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0.svg"/><Relationship Id="rId18" Type="http://schemas.openxmlformats.org/officeDocument/2006/relationships/image" Target="../media/image25.png"/><Relationship Id="rId26" Type="http://schemas.openxmlformats.org/officeDocument/2006/relationships/hyperlink" Target="#INGREDIENTS!A1"/><Relationship Id="rId3" Type="http://schemas.openxmlformats.org/officeDocument/2006/relationships/chart" Target="../charts/chart12.xml"/><Relationship Id="rId21" Type="http://schemas.openxmlformats.org/officeDocument/2006/relationships/image" Target="../media/image28.svg"/><Relationship Id="rId7" Type="http://schemas.openxmlformats.org/officeDocument/2006/relationships/image" Target="../media/image14.svg"/><Relationship Id="rId12" Type="http://schemas.openxmlformats.org/officeDocument/2006/relationships/image" Target="../media/image19.png"/><Relationship Id="rId17" Type="http://schemas.openxmlformats.org/officeDocument/2006/relationships/image" Target="../media/image24.svg"/><Relationship Id="rId25" Type="http://schemas.openxmlformats.org/officeDocument/2006/relationships/hyperlink" Target="#'HOME PAGE'!A1"/><Relationship Id="rId2" Type="http://schemas.openxmlformats.org/officeDocument/2006/relationships/image" Target="../media/image31.png"/><Relationship Id="rId16" Type="http://schemas.openxmlformats.org/officeDocument/2006/relationships/image" Target="../media/image23.png"/><Relationship Id="rId20" Type="http://schemas.openxmlformats.org/officeDocument/2006/relationships/image" Target="../media/image27.png"/><Relationship Id="rId1" Type="http://schemas.openxmlformats.org/officeDocument/2006/relationships/chart" Target="../charts/chart11.xml"/><Relationship Id="rId6" Type="http://schemas.openxmlformats.org/officeDocument/2006/relationships/image" Target="../media/image13.png"/><Relationship Id="rId11" Type="http://schemas.openxmlformats.org/officeDocument/2006/relationships/image" Target="../media/image18.svg"/><Relationship Id="rId24" Type="http://schemas.openxmlformats.org/officeDocument/2006/relationships/image" Target="../media/image1.png"/><Relationship Id="rId5" Type="http://schemas.openxmlformats.org/officeDocument/2006/relationships/image" Target="../media/image12.svg"/><Relationship Id="rId15" Type="http://schemas.openxmlformats.org/officeDocument/2006/relationships/image" Target="../media/image22.svg"/><Relationship Id="rId23" Type="http://schemas.openxmlformats.org/officeDocument/2006/relationships/image" Target="../media/image30.svg"/><Relationship Id="rId28" Type="http://schemas.openxmlformats.org/officeDocument/2006/relationships/hyperlink" Target="#STYLES!A1"/><Relationship Id="rId10" Type="http://schemas.openxmlformats.org/officeDocument/2006/relationships/image" Target="../media/image17.png"/><Relationship Id="rId19" Type="http://schemas.openxmlformats.org/officeDocument/2006/relationships/image" Target="../media/image26.svg"/><Relationship Id="rId4" Type="http://schemas.openxmlformats.org/officeDocument/2006/relationships/image" Target="../media/image11.png"/><Relationship Id="rId9" Type="http://schemas.openxmlformats.org/officeDocument/2006/relationships/image" Target="../media/image16.svg"/><Relationship Id="rId14" Type="http://schemas.openxmlformats.org/officeDocument/2006/relationships/image" Target="../media/image21.png"/><Relationship Id="rId22" Type="http://schemas.openxmlformats.org/officeDocument/2006/relationships/image" Target="../media/image29.png"/><Relationship Id="rId27" Type="http://schemas.openxmlformats.org/officeDocument/2006/relationships/hyperlink" Target="#Convertisseur!A1"/></Relationships>
</file>

<file path=xl/drawings/_rels/drawing11.xml.rels><?xml version="1.0" encoding="UTF-8" standalone="yes"?>
<Relationships xmlns="http://schemas.openxmlformats.org/package/2006/relationships"><Relationship Id="rId8" Type="http://schemas.openxmlformats.org/officeDocument/2006/relationships/image" Target="../media/image16.svg"/><Relationship Id="rId13" Type="http://schemas.openxmlformats.org/officeDocument/2006/relationships/image" Target="../media/image21.png"/><Relationship Id="rId18" Type="http://schemas.openxmlformats.org/officeDocument/2006/relationships/image" Target="../media/image26.svg"/><Relationship Id="rId26" Type="http://schemas.openxmlformats.org/officeDocument/2006/relationships/hyperlink" Target="#STYLES!A1"/><Relationship Id="rId3" Type="http://schemas.openxmlformats.org/officeDocument/2006/relationships/image" Target="../media/image11.png"/><Relationship Id="rId21" Type="http://schemas.openxmlformats.org/officeDocument/2006/relationships/image" Target="../media/image29.png"/><Relationship Id="rId7" Type="http://schemas.openxmlformats.org/officeDocument/2006/relationships/image" Target="../media/image15.png"/><Relationship Id="rId12" Type="http://schemas.openxmlformats.org/officeDocument/2006/relationships/image" Target="../media/image20.svg"/><Relationship Id="rId17" Type="http://schemas.openxmlformats.org/officeDocument/2006/relationships/image" Target="../media/image25.png"/><Relationship Id="rId25" Type="http://schemas.openxmlformats.org/officeDocument/2006/relationships/hyperlink" Target="#Convertisseur!A1"/><Relationship Id="rId2" Type="http://schemas.openxmlformats.org/officeDocument/2006/relationships/chart" Target="../charts/chart14.xml"/><Relationship Id="rId16" Type="http://schemas.openxmlformats.org/officeDocument/2006/relationships/image" Target="../media/image24.svg"/><Relationship Id="rId20" Type="http://schemas.openxmlformats.org/officeDocument/2006/relationships/image" Target="../media/image28.svg"/><Relationship Id="rId1" Type="http://schemas.openxmlformats.org/officeDocument/2006/relationships/chart" Target="../charts/chart13.xml"/><Relationship Id="rId6" Type="http://schemas.openxmlformats.org/officeDocument/2006/relationships/image" Target="../media/image14.svg"/><Relationship Id="rId11" Type="http://schemas.openxmlformats.org/officeDocument/2006/relationships/image" Target="../media/image19.png"/><Relationship Id="rId24" Type="http://schemas.openxmlformats.org/officeDocument/2006/relationships/hyperlink" Target="#INGREDIENTS!A1"/><Relationship Id="rId5" Type="http://schemas.openxmlformats.org/officeDocument/2006/relationships/image" Target="../media/image13.png"/><Relationship Id="rId15" Type="http://schemas.openxmlformats.org/officeDocument/2006/relationships/image" Target="../media/image23.png"/><Relationship Id="rId23" Type="http://schemas.openxmlformats.org/officeDocument/2006/relationships/hyperlink" Target="#'HOME PAGE'!A1"/><Relationship Id="rId10" Type="http://schemas.openxmlformats.org/officeDocument/2006/relationships/image" Target="../media/image18.svg"/><Relationship Id="rId19" Type="http://schemas.openxmlformats.org/officeDocument/2006/relationships/image" Target="../media/image27.png"/><Relationship Id="rId4" Type="http://schemas.openxmlformats.org/officeDocument/2006/relationships/image" Target="../media/image12.svg"/><Relationship Id="rId9" Type="http://schemas.openxmlformats.org/officeDocument/2006/relationships/image" Target="../media/image17.png"/><Relationship Id="rId14" Type="http://schemas.openxmlformats.org/officeDocument/2006/relationships/image" Target="../media/image22.svg"/><Relationship Id="rId22" Type="http://schemas.openxmlformats.org/officeDocument/2006/relationships/image" Target="../media/image30.svg"/></Relationships>
</file>

<file path=xl/drawings/_rels/drawing12.xml.rels><?xml version="1.0" encoding="UTF-8" standalone="yes"?>
<Relationships xmlns="http://schemas.openxmlformats.org/package/2006/relationships"><Relationship Id="rId8" Type="http://schemas.openxmlformats.org/officeDocument/2006/relationships/image" Target="../media/image16.svg"/><Relationship Id="rId13" Type="http://schemas.openxmlformats.org/officeDocument/2006/relationships/image" Target="../media/image21.png"/><Relationship Id="rId18" Type="http://schemas.openxmlformats.org/officeDocument/2006/relationships/image" Target="../media/image26.svg"/><Relationship Id="rId26" Type="http://schemas.openxmlformats.org/officeDocument/2006/relationships/hyperlink" Target="#'HOME PAGE'!A1"/><Relationship Id="rId3" Type="http://schemas.openxmlformats.org/officeDocument/2006/relationships/image" Target="../media/image11.png"/><Relationship Id="rId21" Type="http://schemas.openxmlformats.org/officeDocument/2006/relationships/image" Target="../media/image29.png"/><Relationship Id="rId7" Type="http://schemas.openxmlformats.org/officeDocument/2006/relationships/image" Target="../media/image15.png"/><Relationship Id="rId12" Type="http://schemas.openxmlformats.org/officeDocument/2006/relationships/image" Target="../media/image20.svg"/><Relationship Id="rId17" Type="http://schemas.openxmlformats.org/officeDocument/2006/relationships/image" Target="../media/image25.png"/><Relationship Id="rId25" Type="http://schemas.openxmlformats.org/officeDocument/2006/relationships/image" Target="../media/image34.png"/><Relationship Id="rId2" Type="http://schemas.openxmlformats.org/officeDocument/2006/relationships/chart" Target="../charts/chart16.xml"/><Relationship Id="rId16" Type="http://schemas.openxmlformats.org/officeDocument/2006/relationships/image" Target="../media/image24.svg"/><Relationship Id="rId20" Type="http://schemas.openxmlformats.org/officeDocument/2006/relationships/image" Target="../media/image28.svg"/><Relationship Id="rId29" Type="http://schemas.openxmlformats.org/officeDocument/2006/relationships/hyperlink" Target="#STYLES!A1"/><Relationship Id="rId1" Type="http://schemas.openxmlformats.org/officeDocument/2006/relationships/chart" Target="../charts/chart15.xml"/><Relationship Id="rId6" Type="http://schemas.openxmlformats.org/officeDocument/2006/relationships/image" Target="../media/image14.svg"/><Relationship Id="rId11" Type="http://schemas.openxmlformats.org/officeDocument/2006/relationships/image" Target="../media/image19.png"/><Relationship Id="rId24" Type="http://schemas.openxmlformats.org/officeDocument/2006/relationships/image" Target="../media/image33.png"/><Relationship Id="rId5" Type="http://schemas.openxmlformats.org/officeDocument/2006/relationships/image" Target="../media/image13.png"/><Relationship Id="rId15" Type="http://schemas.openxmlformats.org/officeDocument/2006/relationships/image" Target="../media/image23.png"/><Relationship Id="rId23" Type="http://schemas.openxmlformats.org/officeDocument/2006/relationships/image" Target="../media/image32.png"/><Relationship Id="rId28" Type="http://schemas.openxmlformats.org/officeDocument/2006/relationships/hyperlink" Target="#Convertisseur!A1"/><Relationship Id="rId10" Type="http://schemas.openxmlformats.org/officeDocument/2006/relationships/image" Target="../media/image18.svg"/><Relationship Id="rId19" Type="http://schemas.openxmlformats.org/officeDocument/2006/relationships/image" Target="../media/image27.png"/><Relationship Id="rId4" Type="http://schemas.openxmlformats.org/officeDocument/2006/relationships/image" Target="../media/image12.svg"/><Relationship Id="rId9" Type="http://schemas.openxmlformats.org/officeDocument/2006/relationships/image" Target="../media/image17.png"/><Relationship Id="rId14" Type="http://schemas.openxmlformats.org/officeDocument/2006/relationships/image" Target="../media/image22.svg"/><Relationship Id="rId22" Type="http://schemas.openxmlformats.org/officeDocument/2006/relationships/image" Target="../media/image30.svg"/><Relationship Id="rId27" Type="http://schemas.openxmlformats.org/officeDocument/2006/relationships/hyperlink" Target="#INGREDIENTS!A1"/></Relationships>
</file>

<file path=xl/drawings/_rels/drawing13.xml.rels><?xml version="1.0" encoding="UTF-8" standalone="yes"?>
<Relationships xmlns="http://schemas.openxmlformats.org/package/2006/relationships"><Relationship Id="rId3" Type="http://schemas.openxmlformats.org/officeDocument/2006/relationships/image" Target="../media/image37.jpeg"/><Relationship Id="rId7" Type="http://schemas.openxmlformats.org/officeDocument/2006/relationships/hyperlink" Target="#STYLES!A1"/><Relationship Id="rId2" Type="http://schemas.openxmlformats.org/officeDocument/2006/relationships/image" Target="../media/image36.png"/><Relationship Id="rId1" Type="http://schemas.openxmlformats.org/officeDocument/2006/relationships/image" Target="../media/image35.png"/><Relationship Id="rId6" Type="http://schemas.openxmlformats.org/officeDocument/2006/relationships/hyperlink" Target="#Convertisseur!A1"/><Relationship Id="rId5" Type="http://schemas.openxmlformats.org/officeDocument/2006/relationships/hyperlink" Target="#'HOME PAGE'!A1"/><Relationship Id="rId4" Type="http://schemas.openxmlformats.org/officeDocument/2006/relationships/chart" Target="../charts/chart17.xml"/></Relationships>
</file>

<file path=xl/drawings/_rels/drawing14.xml.rels><?xml version="1.0" encoding="UTF-8" standalone="yes"?>
<Relationships xmlns="http://schemas.openxmlformats.org/package/2006/relationships"><Relationship Id="rId3" Type="http://schemas.openxmlformats.org/officeDocument/2006/relationships/hyperlink" Target="#Convertisseur!A1"/><Relationship Id="rId2" Type="http://schemas.openxmlformats.org/officeDocument/2006/relationships/hyperlink" Target="#INGREDIENTS!A1"/><Relationship Id="rId1" Type="http://schemas.openxmlformats.org/officeDocument/2006/relationships/hyperlink" Target="#'HOME PAGE'!A1"/></Relationships>
</file>

<file path=xl/drawings/_rels/drawing15.xml.rels><?xml version="1.0" encoding="UTF-8" standalone="yes"?>
<Relationships xmlns="http://schemas.openxmlformats.org/package/2006/relationships"><Relationship Id="rId8" Type="http://schemas.openxmlformats.org/officeDocument/2006/relationships/hyperlink" Target="#STYLES!A1"/><Relationship Id="rId3" Type="http://schemas.openxmlformats.org/officeDocument/2006/relationships/image" Target="../media/image40.png"/><Relationship Id="rId7" Type="http://schemas.openxmlformats.org/officeDocument/2006/relationships/hyperlink" Target="#INGREDIENTS!A1"/><Relationship Id="rId2" Type="http://schemas.openxmlformats.org/officeDocument/2006/relationships/image" Target="../media/image39.png"/><Relationship Id="rId1" Type="http://schemas.openxmlformats.org/officeDocument/2006/relationships/image" Target="../media/image38.png"/><Relationship Id="rId6" Type="http://schemas.openxmlformats.org/officeDocument/2006/relationships/hyperlink" Target="#'HOME PAGE'!A1"/><Relationship Id="rId5" Type="http://schemas.openxmlformats.org/officeDocument/2006/relationships/image" Target="../media/image42.png"/><Relationship Id="rId4" Type="http://schemas.openxmlformats.org/officeDocument/2006/relationships/image" Target="../media/image41.png"/></Relationships>
</file>

<file path=xl/drawings/drawing1.xml><?xml version="1.0" encoding="utf-8"?>
<xdr:wsDr xmlns:xdr="http://schemas.openxmlformats.org/drawingml/2006/spreadsheetDrawing" xmlns:a="http://schemas.openxmlformats.org/drawingml/2006/main">
  <xdr:twoCellAnchor>
    <xdr:from>
      <xdr:col>17</xdr:col>
      <xdr:colOff>1</xdr:colOff>
      <xdr:row>25</xdr:row>
      <xdr:rowOff>9525</xdr:rowOff>
    </xdr:from>
    <xdr:to>
      <xdr:col>20</xdr:col>
      <xdr:colOff>628651</xdr:colOff>
      <xdr:row>44</xdr:row>
      <xdr:rowOff>142875</xdr:rowOff>
    </xdr:to>
    <xdr:grpSp>
      <xdr:nvGrpSpPr>
        <xdr:cNvPr id="5" name="Groupe 4">
          <a:hlinkClick xmlns:r="http://schemas.openxmlformats.org/officeDocument/2006/relationships" r:id="rId1"/>
          <a:extLst>
            <a:ext uri="{FF2B5EF4-FFF2-40B4-BE49-F238E27FC236}">
              <a16:creationId xmlns:a16="http://schemas.microsoft.com/office/drawing/2014/main" id="{67A394BC-7742-E462-260A-19668C38A1A4}"/>
            </a:ext>
          </a:extLst>
        </xdr:cNvPr>
        <xdr:cNvGrpSpPr/>
      </xdr:nvGrpSpPr>
      <xdr:grpSpPr>
        <a:xfrm>
          <a:off x="12954001" y="4772025"/>
          <a:ext cx="2914650" cy="3752850"/>
          <a:chOff x="3790951" y="1638300"/>
          <a:chExt cx="2914650" cy="3752850"/>
        </a:xfrm>
      </xdr:grpSpPr>
      <xdr:sp macro="" textlink="">
        <xdr:nvSpPr>
          <xdr:cNvPr id="2" name="Rectangle : coins arrondis 1" descr="NZ NEIPA Single Hop DDH Nelson Sauvin">
            <a:extLst>
              <a:ext uri="{FF2B5EF4-FFF2-40B4-BE49-F238E27FC236}">
                <a16:creationId xmlns:a16="http://schemas.microsoft.com/office/drawing/2014/main" id="{7C4CF20D-EC02-7EB4-A67A-38BBA9FCC0E4}"/>
              </a:ext>
            </a:extLst>
          </xdr:cNvPr>
          <xdr:cNvSpPr/>
        </xdr:nvSpPr>
        <xdr:spPr>
          <a:xfrm>
            <a:off x="3790951" y="1638300"/>
            <a:ext cx="2914650" cy="3752850"/>
          </a:xfrm>
          <a:prstGeom prst="roundRect">
            <a:avLst/>
          </a:prstGeom>
          <a:solidFill>
            <a:srgbClr val="7030A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fr-FR" sz="1800" b="1" cap="all" baseline="0"/>
              <a:t>Chauvin</a:t>
            </a:r>
          </a:p>
          <a:p>
            <a:pPr algn="ctr"/>
            <a:r>
              <a:rPr lang="fr-FR" sz="1400"/>
              <a:t>NZ NEIPA Single Hop DDH </a:t>
            </a:r>
          </a:p>
          <a:p>
            <a:pPr algn="ctr"/>
            <a:r>
              <a:rPr lang="fr-FR" sz="1400"/>
              <a:t>Nelson Sauvin</a:t>
            </a:r>
          </a:p>
        </xdr:txBody>
      </xdr:sp>
      <xdr:pic>
        <xdr:nvPicPr>
          <xdr:cNvPr id="3" name="Image 2">
            <a:extLst>
              <a:ext uri="{FF2B5EF4-FFF2-40B4-BE49-F238E27FC236}">
                <a16:creationId xmlns:a16="http://schemas.microsoft.com/office/drawing/2014/main" id="{D3DC2E45-9AF7-45A8-BB6C-C8BE2E2BA8EC}"/>
              </a:ext>
            </a:extLst>
          </xdr:cNvPr>
          <xdr:cNvPicPr>
            <a:picLocks noChangeAspect="1"/>
          </xdr:cNvPicPr>
        </xdr:nvPicPr>
        <xdr:blipFill>
          <a:blip xmlns:r="http://schemas.openxmlformats.org/officeDocument/2006/relationships" r:embed="rId2"/>
          <a:stretch>
            <a:fillRect/>
          </a:stretch>
        </xdr:blipFill>
        <xdr:spPr>
          <a:xfrm>
            <a:off x="4152899" y="2637403"/>
            <a:ext cx="2206242" cy="2467998"/>
          </a:xfrm>
          <a:prstGeom prst="rect">
            <a:avLst/>
          </a:prstGeom>
        </xdr:spPr>
      </xdr:pic>
    </xdr:grpSp>
    <xdr:clientData/>
  </xdr:twoCellAnchor>
  <xdr:twoCellAnchor>
    <xdr:from>
      <xdr:col>12</xdr:col>
      <xdr:colOff>733426</xdr:colOff>
      <xdr:row>25</xdr:row>
      <xdr:rowOff>0</xdr:rowOff>
    </xdr:from>
    <xdr:to>
      <xdr:col>16</xdr:col>
      <xdr:colOff>600076</xdr:colOff>
      <xdr:row>44</xdr:row>
      <xdr:rowOff>133350</xdr:rowOff>
    </xdr:to>
    <xdr:grpSp>
      <xdr:nvGrpSpPr>
        <xdr:cNvPr id="10" name="Groupe 9">
          <a:extLst>
            <a:ext uri="{FF2B5EF4-FFF2-40B4-BE49-F238E27FC236}">
              <a16:creationId xmlns:a16="http://schemas.microsoft.com/office/drawing/2014/main" id="{D1AA7500-E0B5-C7D3-19B5-5C31250CB9BD}"/>
            </a:ext>
          </a:extLst>
        </xdr:cNvPr>
        <xdr:cNvGrpSpPr/>
      </xdr:nvGrpSpPr>
      <xdr:grpSpPr>
        <a:xfrm>
          <a:off x="9877426" y="4762500"/>
          <a:ext cx="2914650" cy="3752850"/>
          <a:chOff x="4638676" y="2571750"/>
          <a:chExt cx="2914650" cy="3752850"/>
        </a:xfrm>
      </xdr:grpSpPr>
      <xdr:sp macro="" textlink="">
        <xdr:nvSpPr>
          <xdr:cNvPr id="7" name="Rectangle : coins arrondis 6" descr="NZ NEIPA Single Hop DDH Nelson Sauvin">
            <a:hlinkClick xmlns:r="http://schemas.openxmlformats.org/officeDocument/2006/relationships" r:id="rId3"/>
            <a:extLst>
              <a:ext uri="{FF2B5EF4-FFF2-40B4-BE49-F238E27FC236}">
                <a16:creationId xmlns:a16="http://schemas.microsoft.com/office/drawing/2014/main" id="{9F8FF416-DBE2-BF8A-F897-2F18B8C9DC60}"/>
              </a:ext>
            </a:extLst>
          </xdr:cNvPr>
          <xdr:cNvSpPr/>
        </xdr:nvSpPr>
        <xdr:spPr>
          <a:xfrm>
            <a:off x="4638676" y="2571750"/>
            <a:ext cx="2914650" cy="3752850"/>
          </a:xfrm>
          <a:prstGeom prst="roundRect">
            <a:avLst/>
          </a:prstGeom>
          <a:solidFill>
            <a:schemeClr val="accent6">
              <a:lumMod val="5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fr-FR" sz="1800" b="1" cap="all" baseline="0"/>
              <a:t>Tytymut and Cucumis</a:t>
            </a:r>
          </a:p>
          <a:p>
            <a:pPr algn="ctr"/>
            <a:r>
              <a:rPr lang="fr-FR" sz="1400"/>
              <a:t>Spiced Ale</a:t>
            </a:r>
          </a:p>
          <a:p>
            <a:pPr algn="ctr"/>
            <a:r>
              <a:rPr lang="fr-FR" sz="1400"/>
              <a:t>Cucumber / Timut pepper</a:t>
            </a:r>
          </a:p>
        </xdr:txBody>
      </xdr:sp>
      <xdr:pic>
        <xdr:nvPicPr>
          <xdr:cNvPr id="9" name="Image 8">
            <a:extLst>
              <a:ext uri="{FF2B5EF4-FFF2-40B4-BE49-F238E27FC236}">
                <a16:creationId xmlns:a16="http://schemas.microsoft.com/office/drawing/2014/main" id="{E856AA87-B122-400A-B163-82063BE5E35A}"/>
              </a:ext>
            </a:extLst>
          </xdr:cNvPr>
          <xdr:cNvPicPr>
            <a:picLocks noChangeAspect="1"/>
          </xdr:cNvPicPr>
        </xdr:nvPicPr>
        <xdr:blipFill>
          <a:blip xmlns:r="http://schemas.openxmlformats.org/officeDocument/2006/relationships" r:embed="rId4"/>
          <a:stretch>
            <a:fillRect/>
          </a:stretch>
        </xdr:blipFill>
        <xdr:spPr>
          <a:xfrm>
            <a:off x="4895850" y="3649877"/>
            <a:ext cx="2371725" cy="2378607"/>
          </a:xfrm>
          <a:prstGeom prst="rect">
            <a:avLst/>
          </a:prstGeom>
        </xdr:spPr>
      </xdr:pic>
    </xdr:grpSp>
    <xdr:clientData/>
  </xdr:twoCellAnchor>
  <xdr:twoCellAnchor>
    <xdr:from>
      <xdr:col>8</xdr:col>
      <xdr:colOff>733426</xdr:colOff>
      <xdr:row>25</xdr:row>
      <xdr:rowOff>0</xdr:rowOff>
    </xdr:from>
    <xdr:to>
      <xdr:col>12</xdr:col>
      <xdr:colOff>600076</xdr:colOff>
      <xdr:row>44</xdr:row>
      <xdr:rowOff>133350</xdr:rowOff>
    </xdr:to>
    <xdr:grpSp>
      <xdr:nvGrpSpPr>
        <xdr:cNvPr id="13" name="Groupe 12">
          <a:hlinkClick xmlns:r="http://schemas.openxmlformats.org/officeDocument/2006/relationships" r:id="rId5"/>
          <a:extLst>
            <a:ext uri="{FF2B5EF4-FFF2-40B4-BE49-F238E27FC236}">
              <a16:creationId xmlns:a16="http://schemas.microsoft.com/office/drawing/2014/main" id="{164CBBAA-6077-745D-5B00-A05AA3A70031}"/>
            </a:ext>
          </a:extLst>
        </xdr:cNvPr>
        <xdr:cNvGrpSpPr/>
      </xdr:nvGrpSpPr>
      <xdr:grpSpPr>
        <a:xfrm>
          <a:off x="6829426" y="4762500"/>
          <a:ext cx="2914650" cy="3752850"/>
          <a:chOff x="7800976" y="2609850"/>
          <a:chExt cx="2914650" cy="3752850"/>
        </a:xfrm>
      </xdr:grpSpPr>
      <xdr:sp macro="" textlink="">
        <xdr:nvSpPr>
          <xdr:cNvPr id="12" name="Rectangle : coins arrondis 11" descr="NZ NEIPA Single Hop DDH Nelson Sauvin">
            <a:extLst>
              <a:ext uri="{FF2B5EF4-FFF2-40B4-BE49-F238E27FC236}">
                <a16:creationId xmlns:a16="http://schemas.microsoft.com/office/drawing/2014/main" id="{0BAC0556-5FAF-45CA-9F97-05E0A6AEC3D7}"/>
              </a:ext>
            </a:extLst>
          </xdr:cNvPr>
          <xdr:cNvSpPr/>
        </xdr:nvSpPr>
        <xdr:spPr>
          <a:xfrm>
            <a:off x="7800976" y="2609850"/>
            <a:ext cx="2914650" cy="3752850"/>
          </a:xfrm>
          <a:prstGeom prst="roundRect">
            <a:avLst/>
          </a:prstGeom>
          <a:solidFill>
            <a:srgbClr val="00206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fr-FR" sz="1800" b="1"/>
              <a:t>A NEW HOP</a:t>
            </a:r>
          </a:p>
          <a:p>
            <a:pPr algn="ctr"/>
            <a:r>
              <a:rPr lang="fr-FR" sz="1400"/>
              <a:t>Hazy IPA </a:t>
            </a:r>
          </a:p>
          <a:p>
            <a:pPr algn="ctr"/>
            <a:r>
              <a:rPr lang="fr-FR" sz="1400"/>
              <a:t>Phantasm powder</a:t>
            </a:r>
            <a:r>
              <a:rPr lang="fr-FR" sz="1400" baseline="0"/>
              <a:t> / </a:t>
            </a:r>
            <a:r>
              <a:rPr lang="fr-FR" sz="1400"/>
              <a:t>Alora /</a:t>
            </a:r>
            <a:r>
              <a:rPr lang="fr-FR" sz="1400" baseline="0"/>
              <a:t> </a:t>
            </a:r>
            <a:r>
              <a:rPr lang="fr-FR" sz="1400"/>
              <a:t>Tropical Yeast</a:t>
            </a:r>
          </a:p>
        </xdr:txBody>
      </xdr:sp>
      <xdr:pic>
        <xdr:nvPicPr>
          <xdr:cNvPr id="11" name="Image 10">
            <a:extLst>
              <a:ext uri="{FF2B5EF4-FFF2-40B4-BE49-F238E27FC236}">
                <a16:creationId xmlns:a16="http://schemas.microsoft.com/office/drawing/2014/main" id="{2B0CDE8F-544D-4C78-A6DF-415D1ED70D83}"/>
              </a:ext>
            </a:extLst>
          </xdr:cNvPr>
          <xdr:cNvPicPr>
            <a:picLocks noChangeAspect="1"/>
          </xdr:cNvPicPr>
        </xdr:nvPicPr>
        <xdr:blipFill>
          <a:blip xmlns:r="http://schemas.openxmlformats.org/officeDocument/2006/relationships" r:embed="rId6"/>
          <a:stretch>
            <a:fillRect/>
          </a:stretch>
        </xdr:blipFill>
        <xdr:spPr>
          <a:xfrm>
            <a:off x="8505825" y="3810000"/>
            <a:ext cx="1633007" cy="2417692"/>
          </a:xfrm>
          <a:prstGeom prst="rect">
            <a:avLst/>
          </a:prstGeom>
        </xdr:spPr>
      </xdr:pic>
    </xdr:grpSp>
    <xdr:clientData/>
  </xdr:twoCellAnchor>
  <xdr:twoCellAnchor>
    <xdr:from>
      <xdr:col>4</xdr:col>
      <xdr:colOff>742951</xdr:colOff>
      <xdr:row>25</xdr:row>
      <xdr:rowOff>9525</xdr:rowOff>
    </xdr:from>
    <xdr:to>
      <xdr:col>8</xdr:col>
      <xdr:colOff>609601</xdr:colOff>
      <xdr:row>44</xdr:row>
      <xdr:rowOff>142875</xdr:rowOff>
    </xdr:to>
    <xdr:grpSp>
      <xdr:nvGrpSpPr>
        <xdr:cNvPr id="18" name="Groupe 17">
          <a:hlinkClick xmlns:r="http://schemas.openxmlformats.org/officeDocument/2006/relationships" r:id="rId7"/>
          <a:extLst>
            <a:ext uri="{FF2B5EF4-FFF2-40B4-BE49-F238E27FC236}">
              <a16:creationId xmlns:a16="http://schemas.microsoft.com/office/drawing/2014/main" id="{BC5199BE-A915-CFFE-A029-B243423AC52F}"/>
            </a:ext>
          </a:extLst>
        </xdr:cNvPr>
        <xdr:cNvGrpSpPr/>
      </xdr:nvGrpSpPr>
      <xdr:grpSpPr>
        <a:xfrm>
          <a:off x="3790951" y="4772025"/>
          <a:ext cx="2914650" cy="3752850"/>
          <a:chOff x="1809751" y="2114550"/>
          <a:chExt cx="2914650" cy="3752850"/>
        </a:xfrm>
      </xdr:grpSpPr>
      <xdr:sp macro="" textlink="">
        <xdr:nvSpPr>
          <xdr:cNvPr id="15" name="Rectangle : coins arrondis 14" descr="NZ NEIPA Single Hop DDH Nelson Sauvin">
            <a:extLst>
              <a:ext uri="{FF2B5EF4-FFF2-40B4-BE49-F238E27FC236}">
                <a16:creationId xmlns:a16="http://schemas.microsoft.com/office/drawing/2014/main" id="{1C531EE0-216E-E643-729C-5C94820D1F68}"/>
              </a:ext>
            </a:extLst>
          </xdr:cNvPr>
          <xdr:cNvSpPr/>
        </xdr:nvSpPr>
        <xdr:spPr>
          <a:xfrm>
            <a:off x="1809751" y="2114550"/>
            <a:ext cx="2914650" cy="3752850"/>
          </a:xfrm>
          <a:prstGeom prst="roundRect">
            <a:avLst/>
          </a:prstGeom>
          <a:solidFill>
            <a:srgbClr val="A137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fr-FR" sz="1800" b="1"/>
              <a:t>MAY THE FAUVE </a:t>
            </a:r>
          </a:p>
          <a:p>
            <a:pPr algn="ctr"/>
            <a:r>
              <a:rPr lang="fr-FR" sz="1800" b="1"/>
              <a:t>BE WITH YOU</a:t>
            </a:r>
          </a:p>
          <a:p>
            <a:pPr algn="ctr"/>
            <a:r>
              <a:rPr lang="fr-FR" sz="1400"/>
              <a:t>NEIPA</a:t>
            </a:r>
          </a:p>
          <a:p>
            <a:pPr algn="ctr"/>
            <a:r>
              <a:rPr lang="fr-FR" sz="1400"/>
              <a:t>Citra / Mosaic / Simcoe</a:t>
            </a:r>
          </a:p>
        </xdr:txBody>
      </xdr:sp>
      <xdr:pic>
        <xdr:nvPicPr>
          <xdr:cNvPr id="17" name="Image 16">
            <a:extLst>
              <a:ext uri="{FF2B5EF4-FFF2-40B4-BE49-F238E27FC236}">
                <a16:creationId xmlns:a16="http://schemas.microsoft.com/office/drawing/2014/main" id="{54326F4A-2D9C-4A89-B99F-27891E538DDB}"/>
              </a:ext>
            </a:extLst>
          </xdr:cNvPr>
          <xdr:cNvPicPr>
            <a:picLocks noChangeAspect="1"/>
          </xdr:cNvPicPr>
        </xdr:nvPicPr>
        <xdr:blipFill>
          <a:blip xmlns:r="http://schemas.openxmlformats.org/officeDocument/2006/relationships" r:embed="rId8"/>
          <a:stretch>
            <a:fillRect/>
          </a:stretch>
        </xdr:blipFill>
        <xdr:spPr>
          <a:xfrm>
            <a:off x="2543175" y="3333750"/>
            <a:ext cx="1534585" cy="2358879"/>
          </a:xfrm>
          <a:prstGeom prst="rect">
            <a:avLst/>
          </a:prstGeom>
        </xdr:spPr>
      </xdr:pic>
    </xdr:grpSp>
    <xdr:clientData/>
  </xdr:twoCellAnchor>
  <xdr:twoCellAnchor>
    <xdr:from>
      <xdr:col>0</xdr:col>
      <xdr:colOff>752476</xdr:colOff>
      <xdr:row>25</xdr:row>
      <xdr:rowOff>9525</xdr:rowOff>
    </xdr:from>
    <xdr:to>
      <xdr:col>4</xdr:col>
      <xdr:colOff>619126</xdr:colOff>
      <xdr:row>44</xdr:row>
      <xdr:rowOff>142875</xdr:rowOff>
    </xdr:to>
    <xdr:grpSp>
      <xdr:nvGrpSpPr>
        <xdr:cNvPr id="23" name="Groupe 22">
          <a:hlinkClick xmlns:r="http://schemas.openxmlformats.org/officeDocument/2006/relationships" r:id="rId9"/>
          <a:extLst>
            <a:ext uri="{FF2B5EF4-FFF2-40B4-BE49-F238E27FC236}">
              <a16:creationId xmlns:a16="http://schemas.microsoft.com/office/drawing/2014/main" id="{1531A94A-70D9-577A-3109-911107A53E20}"/>
            </a:ext>
          </a:extLst>
        </xdr:cNvPr>
        <xdr:cNvGrpSpPr/>
      </xdr:nvGrpSpPr>
      <xdr:grpSpPr>
        <a:xfrm>
          <a:off x="752476" y="4772025"/>
          <a:ext cx="2914650" cy="3752850"/>
          <a:chOff x="13716001" y="1095375"/>
          <a:chExt cx="2914650" cy="3752850"/>
        </a:xfrm>
      </xdr:grpSpPr>
      <xdr:sp macro="" textlink="">
        <xdr:nvSpPr>
          <xdr:cNvPr id="21" name="Rectangle : coins arrondis 20" descr="NZ NEIPA Single Hop DDH Nelson Sauvin">
            <a:extLst>
              <a:ext uri="{FF2B5EF4-FFF2-40B4-BE49-F238E27FC236}">
                <a16:creationId xmlns:a16="http://schemas.microsoft.com/office/drawing/2014/main" id="{D5F917F5-B72A-3988-97ED-CC63C84DA570}"/>
              </a:ext>
            </a:extLst>
          </xdr:cNvPr>
          <xdr:cNvSpPr/>
        </xdr:nvSpPr>
        <xdr:spPr>
          <a:xfrm>
            <a:off x="13716001" y="1095375"/>
            <a:ext cx="2914650" cy="3752850"/>
          </a:xfrm>
          <a:prstGeom prst="roundRect">
            <a:avLst/>
          </a:prstGeom>
          <a:solidFill>
            <a:srgbClr val="C0000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fr-FR" sz="1800" b="1"/>
              <a:t>WEDDING</a:t>
            </a:r>
            <a:r>
              <a:rPr lang="fr-FR" sz="1800" b="1" baseline="0"/>
              <a:t> BREW</a:t>
            </a:r>
            <a:endParaRPr lang="fr-FR" sz="1800" b="1"/>
          </a:p>
          <a:p>
            <a:pPr algn="ctr"/>
            <a:r>
              <a:rPr lang="fr-FR" sz="1400"/>
              <a:t>Light fruity saison IPA</a:t>
            </a:r>
          </a:p>
          <a:p>
            <a:pPr algn="ctr"/>
            <a:r>
              <a:rPr lang="fr-FR" sz="1400"/>
              <a:t>Mosaic</a:t>
            </a:r>
            <a:r>
              <a:rPr lang="fr-FR" sz="1400" baseline="0"/>
              <a:t> / Simcoe / Amarillo</a:t>
            </a:r>
            <a:endParaRPr lang="fr-FR" sz="1400"/>
          </a:p>
        </xdr:txBody>
      </xdr:sp>
      <xdr:pic>
        <xdr:nvPicPr>
          <xdr:cNvPr id="19" name="Image 18">
            <a:extLst>
              <a:ext uri="{FF2B5EF4-FFF2-40B4-BE49-F238E27FC236}">
                <a16:creationId xmlns:a16="http://schemas.microsoft.com/office/drawing/2014/main" id="{7F464B1E-BD5E-4260-900C-D1F62CE1B1F7}"/>
              </a:ext>
            </a:extLst>
          </xdr:cNvPr>
          <xdr:cNvPicPr>
            <a:picLocks noChangeAspect="1"/>
          </xdr:cNvPicPr>
        </xdr:nvPicPr>
        <xdr:blipFill>
          <a:blip xmlns:r="http://schemas.openxmlformats.org/officeDocument/2006/relationships" r:embed="rId10"/>
          <a:stretch>
            <a:fillRect/>
          </a:stretch>
        </xdr:blipFill>
        <xdr:spPr>
          <a:xfrm>
            <a:off x="14201776" y="2095500"/>
            <a:ext cx="1899554" cy="2659260"/>
          </a:xfrm>
          <a:prstGeom prst="rect">
            <a:avLst/>
          </a:prstGeom>
        </xdr:spPr>
      </xdr:pic>
    </xdr:grpSp>
    <xdr:clientData/>
  </xdr:twoCellAnchor>
  <xdr:twoCellAnchor>
    <xdr:from>
      <xdr:col>17</xdr:col>
      <xdr:colOff>9526</xdr:colOff>
      <xdr:row>5</xdr:row>
      <xdr:rowOff>9525</xdr:rowOff>
    </xdr:from>
    <xdr:to>
      <xdr:col>20</xdr:col>
      <xdr:colOff>638176</xdr:colOff>
      <xdr:row>24</xdr:row>
      <xdr:rowOff>142875</xdr:rowOff>
    </xdr:to>
    <xdr:grpSp>
      <xdr:nvGrpSpPr>
        <xdr:cNvPr id="34" name="Groupe 33">
          <a:hlinkClick xmlns:r="http://schemas.openxmlformats.org/officeDocument/2006/relationships" r:id="rId11"/>
          <a:extLst>
            <a:ext uri="{FF2B5EF4-FFF2-40B4-BE49-F238E27FC236}">
              <a16:creationId xmlns:a16="http://schemas.microsoft.com/office/drawing/2014/main" id="{D7FC3770-D25D-92A2-8BA2-6878DCD46F53}"/>
            </a:ext>
          </a:extLst>
        </xdr:cNvPr>
        <xdr:cNvGrpSpPr/>
      </xdr:nvGrpSpPr>
      <xdr:grpSpPr>
        <a:xfrm>
          <a:off x="12963526" y="962025"/>
          <a:ext cx="2914650" cy="3752850"/>
          <a:chOff x="7743826" y="200025"/>
          <a:chExt cx="2914650" cy="3752850"/>
        </a:xfrm>
      </xdr:grpSpPr>
      <xdr:sp macro="" textlink="">
        <xdr:nvSpPr>
          <xdr:cNvPr id="25" name="Rectangle : coins arrondis 24" descr="NZ NEIPA Single Hop DDH Nelson Sauvin">
            <a:extLst>
              <a:ext uri="{FF2B5EF4-FFF2-40B4-BE49-F238E27FC236}">
                <a16:creationId xmlns:a16="http://schemas.microsoft.com/office/drawing/2014/main" id="{151E0088-F11E-4058-E956-D832E2861241}"/>
              </a:ext>
            </a:extLst>
          </xdr:cNvPr>
          <xdr:cNvSpPr/>
        </xdr:nvSpPr>
        <xdr:spPr>
          <a:xfrm>
            <a:off x="7743826" y="200025"/>
            <a:ext cx="2914650" cy="3752850"/>
          </a:xfrm>
          <a:prstGeom prst="roundRect">
            <a:avLst/>
          </a:prstGeom>
          <a:solidFill>
            <a:schemeClr val="accent5">
              <a:lumMod val="60000"/>
              <a:lumOff val="4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fr-FR" sz="1800" b="1"/>
              <a:t>HOP[i] NEW YEAR</a:t>
            </a:r>
          </a:p>
          <a:p>
            <a:pPr algn="ctr"/>
            <a:r>
              <a:rPr lang="fr-FR" sz="1400"/>
              <a:t>East Coast IPA</a:t>
            </a:r>
          </a:p>
          <a:p>
            <a:pPr algn="ctr"/>
            <a:r>
              <a:rPr lang="fr-FR" sz="1400"/>
              <a:t>Citra / Mosaic / Galaxy</a:t>
            </a:r>
          </a:p>
        </xdr:txBody>
      </xdr:sp>
      <xdr:pic>
        <xdr:nvPicPr>
          <xdr:cNvPr id="33" name="Image 32">
            <a:extLst>
              <a:ext uri="{FF2B5EF4-FFF2-40B4-BE49-F238E27FC236}">
                <a16:creationId xmlns:a16="http://schemas.microsoft.com/office/drawing/2014/main" id="{0F93C252-0982-43E3-BCA9-9C4E9C8D9D4F}"/>
              </a:ext>
            </a:extLst>
          </xdr:cNvPr>
          <xdr:cNvPicPr>
            <a:picLocks noChangeAspect="1"/>
          </xdr:cNvPicPr>
        </xdr:nvPicPr>
        <xdr:blipFill>
          <a:blip xmlns:r="http://schemas.openxmlformats.org/officeDocument/2006/relationships" r:embed="rId12"/>
          <a:srcRect l="12226" r="11459"/>
          <a:stretch/>
        </xdr:blipFill>
        <xdr:spPr>
          <a:xfrm>
            <a:off x="8267700" y="1200150"/>
            <a:ext cx="1924050" cy="2674536"/>
          </a:xfrm>
          <a:prstGeom prst="rect">
            <a:avLst/>
          </a:prstGeom>
        </xdr:spPr>
      </xdr:pic>
    </xdr:grpSp>
    <xdr:clientData/>
  </xdr:twoCellAnchor>
  <xdr:twoCellAnchor>
    <xdr:from>
      <xdr:col>12</xdr:col>
      <xdr:colOff>742951</xdr:colOff>
      <xdr:row>5</xdr:row>
      <xdr:rowOff>9525</xdr:rowOff>
    </xdr:from>
    <xdr:to>
      <xdr:col>16</xdr:col>
      <xdr:colOff>609601</xdr:colOff>
      <xdr:row>24</xdr:row>
      <xdr:rowOff>142875</xdr:rowOff>
    </xdr:to>
    <xdr:grpSp>
      <xdr:nvGrpSpPr>
        <xdr:cNvPr id="37" name="Groupe 36">
          <a:hlinkClick xmlns:r="http://schemas.openxmlformats.org/officeDocument/2006/relationships" r:id="rId13"/>
          <a:extLst>
            <a:ext uri="{FF2B5EF4-FFF2-40B4-BE49-F238E27FC236}">
              <a16:creationId xmlns:a16="http://schemas.microsoft.com/office/drawing/2014/main" id="{89BE57CF-4923-5E77-A1A1-A23B006BFD64}"/>
            </a:ext>
          </a:extLst>
        </xdr:cNvPr>
        <xdr:cNvGrpSpPr/>
      </xdr:nvGrpSpPr>
      <xdr:grpSpPr>
        <a:xfrm>
          <a:off x="9886951" y="962025"/>
          <a:ext cx="2914650" cy="3752850"/>
          <a:chOff x="4686301" y="209550"/>
          <a:chExt cx="2914650" cy="3752850"/>
        </a:xfrm>
      </xdr:grpSpPr>
      <xdr:sp macro="" textlink="">
        <xdr:nvSpPr>
          <xdr:cNvPr id="28" name="Rectangle : coins arrondis 27" descr="NZ NEIPA Single Hop DDH Nelson Sauvin">
            <a:extLst>
              <a:ext uri="{FF2B5EF4-FFF2-40B4-BE49-F238E27FC236}">
                <a16:creationId xmlns:a16="http://schemas.microsoft.com/office/drawing/2014/main" id="{B6626B30-75CB-D3FF-2DDF-01CB648BDCC4}"/>
              </a:ext>
            </a:extLst>
          </xdr:cNvPr>
          <xdr:cNvSpPr/>
        </xdr:nvSpPr>
        <xdr:spPr>
          <a:xfrm>
            <a:off x="4686301" y="209550"/>
            <a:ext cx="2914650" cy="3752850"/>
          </a:xfrm>
          <a:prstGeom prst="roundRect">
            <a:avLst/>
          </a:prstGeom>
          <a:solidFill>
            <a:schemeClr val="accent2">
              <a:lumMod val="5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fr-FR" sz="1800" b="1"/>
              <a:t>CHOUFF'LEURRE</a:t>
            </a:r>
          </a:p>
          <a:p>
            <a:pPr algn="ctr"/>
            <a:r>
              <a:rPr lang="fr-FR" sz="1400" b="1"/>
              <a:t>Belgian Chouffe-like Ale</a:t>
            </a:r>
          </a:p>
        </xdr:txBody>
      </xdr:sp>
      <xdr:pic>
        <xdr:nvPicPr>
          <xdr:cNvPr id="36" name="Image 35">
            <a:extLst>
              <a:ext uri="{FF2B5EF4-FFF2-40B4-BE49-F238E27FC236}">
                <a16:creationId xmlns:a16="http://schemas.microsoft.com/office/drawing/2014/main" id="{8F0B1CE4-912D-755A-7867-42D4C0403622}"/>
              </a:ext>
            </a:extLst>
          </xdr:cNvPr>
          <xdr:cNvPicPr>
            <a:picLocks noChangeAspect="1"/>
          </xdr:cNvPicPr>
        </xdr:nvPicPr>
        <xdr:blipFill>
          <a:blip xmlns:r="http://schemas.openxmlformats.org/officeDocument/2006/relationships" r:embed="rId14"/>
          <a:stretch>
            <a:fillRect/>
          </a:stretch>
        </xdr:blipFill>
        <xdr:spPr>
          <a:xfrm>
            <a:off x="5048250" y="1104899"/>
            <a:ext cx="2161317" cy="2553393"/>
          </a:xfrm>
          <a:prstGeom prst="rect">
            <a:avLst/>
          </a:prstGeom>
        </xdr:spPr>
      </xdr:pic>
    </xdr:grpSp>
    <xdr:clientData/>
  </xdr:twoCellAnchor>
  <xdr:twoCellAnchor>
    <xdr:from>
      <xdr:col>8</xdr:col>
      <xdr:colOff>742951</xdr:colOff>
      <xdr:row>5</xdr:row>
      <xdr:rowOff>9525</xdr:rowOff>
    </xdr:from>
    <xdr:to>
      <xdr:col>12</xdr:col>
      <xdr:colOff>609601</xdr:colOff>
      <xdr:row>24</xdr:row>
      <xdr:rowOff>142875</xdr:rowOff>
    </xdr:to>
    <xdr:grpSp>
      <xdr:nvGrpSpPr>
        <xdr:cNvPr id="39" name="Groupe 38">
          <a:hlinkClick xmlns:r="http://schemas.openxmlformats.org/officeDocument/2006/relationships" r:id="rId15"/>
          <a:extLst>
            <a:ext uri="{FF2B5EF4-FFF2-40B4-BE49-F238E27FC236}">
              <a16:creationId xmlns:a16="http://schemas.microsoft.com/office/drawing/2014/main" id="{2B3C8B4D-B750-FD8A-2AC9-2A9B1869BEAA}"/>
            </a:ext>
          </a:extLst>
        </xdr:cNvPr>
        <xdr:cNvGrpSpPr/>
      </xdr:nvGrpSpPr>
      <xdr:grpSpPr>
        <a:xfrm>
          <a:off x="6838951" y="962025"/>
          <a:ext cx="2914650" cy="3752850"/>
          <a:chOff x="1647826" y="190500"/>
          <a:chExt cx="2914650" cy="3752850"/>
        </a:xfrm>
      </xdr:grpSpPr>
      <xdr:sp macro="" textlink="">
        <xdr:nvSpPr>
          <xdr:cNvPr id="31" name="Rectangle : coins arrondis 30" descr="NZ NEIPA Single Hop DDH Nelson Sauvin">
            <a:extLst>
              <a:ext uri="{FF2B5EF4-FFF2-40B4-BE49-F238E27FC236}">
                <a16:creationId xmlns:a16="http://schemas.microsoft.com/office/drawing/2014/main" id="{5EFE785B-8731-2A85-53B6-EEE3416B711C}"/>
              </a:ext>
            </a:extLst>
          </xdr:cNvPr>
          <xdr:cNvSpPr/>
        </xdr:nvSpPr>
        <xdr:spPr>
          <a:xfrm>
            <a:off x="1647826" y="190500"/>
            <a:ext cx="2914650" cy="3752850"/>
          </a:xfrm>
          <a:prstGeom prst="roundRect">
            <a:avLst/>
          </a:prstGeom>
          <a:solidFill>
            <a:schemeClr val="accent4">
              <a:lumMod val="5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fr-FR" sz="1800" b="1"/>
              <a:t>FAUVE</a:t>
            </a:r>
          </a:p>
          <a:p>
            <a:pPr algn="ctr"/>
            <a:r>
              <a:rPr lang="fr-FR" sz="1400"/>
              <a:t>NEIPA</a:t>
            </a:r>
          </a:p>
          <a:p>
            <a:pPr algn="ctr"/>
            <a:r>
              <a:rPr lang="fr-FR" sz="1400"/>
              <a:t>Citra / Mosaic / Simcoe</a:t>
            </a:r>
          </a:p>
        </xdr:txBody>
      </xdr:sp>
      <xdr:pic>
        <xdr:nvPicPr>
          <xdr:cNvPr id="38" name="Image 37">
            <a:extLst>
              <a:ext uri="{FF2B5EF4-FFF2-40B4-BE49-F238E27FC236}">
                <a16:creationId xmlns:a16="http://schemas.microsoft.com/office/drawing/2014/main" id="{6126DC15-7FAA-E99C-B5D4-75032097E3DA}"/>
              </a:ext>
            </a:extLst>
          </xdr:cNvPr>
          <xdr:cNvPicPr>
            <a:picLocks noChangeAspect="1"/>
          </xdr:cNvPicPr>
        </xdr:nvPicPr>
        <xdr:blipFill>
          <a:blip xmlns:r="http://schemas.openxmlformats.org/officeDocument/2006/relationships" r:embed="rId16"/>
          <a:stretch>
            <a:fillRect/>
          </a:stretch>
        </xdr:blipFill>
        <xdr:spPr>
          <a:xfrm>
            <a:off x="2019300" y="1257299"/>
            <a:ext cx="2255331" cy="2276475"/>
          </a:xfrm>
          <a:prstGeom prst="rect">
            <a:avLst/>
          </a:prstGeom>
        </xdr:spPr>
      </xdr:pic>
    </xdr:grpSp>
    <xdr:clientData/>
  </xdr:twoCellAnchor>
  <xdr:twoCellAnchor>
    <xdr:from>
      <xdr:col>1</xdr:col>
      <xdr:colOff>9526</xdr:colOff>
      <xdr:row>5</xdr:row>
      <xdr:rowOff>9525</xdr:rowOff>
    </xdr:from>
    <xdr:to>
      <xdr:col>4</xdr:col>
      <xdr:colOff>638176</xdr:colOff>
      <xdr:row>24</xdr:row>
      <xdr:rowOff>142875</xdr:rowOff>
    </xdr:to>
    <xdr:grpSp>
      <xdr:nvGrpSpPr>
        <xdr:cNvPr id="47" name="Groupe 46">
          <a:hlinkClick xmlns:r="http://schemas.openxmlformats.org/officeDocument/2006/relationships" r:id="rId17"/>
          <a:extLst>
            <a:ext uri="{FF2B5EF4-FFF2-40B4-BE49-F238E27FC236}">
              <a16:creationId xmlns:a16="http://schemas.microsoft.com/office/drawing/2014/main" id="{B9254F66-753C-8744-1046-5DF36C3E3673}"/>
            </a:ext>
          </a:extLst>
        </xdr:cNvPr>
        <xdr:cNvGrpSpPr/>
      </xdr:nvGrpSpPr>
      <xdr:grpSpPr>
        <a:xfrm>
          <a:off x="771526" y="962025"/>
          <a:ext cx="2914650" cy="3752850"/>
          <a:chOff x="14049376" y="361950"/>
          <a:chExt cx="2914650" cy="3752850"/>
        </a:xfrm>
      </xdr:grpSpPr>
      <xdr:sp macro="" textlink="">
        <xdr:nvSpPr>
          <xdr:cNvPr id="41" name="Rectangle : coins arrondis 40" descr="NZ NEIPA Single Hop DDH Nelson Sauvin">
            <a:extLst>
              <a:ext uri="{FF2B5EF4-FFF2-40B4-BE49-F238E27FC236}">
                <a16:creationId xmlns:a16="http://schemas.microsoft.com/office/drawing/2014/main" id="{AFE76100-CD80-F06F-F69E-28DC2412E57F}"/>
              </a:ext>
            </a:extLst>
          </xdr:cNvPr>
          <xdr:cNvSpPr/>
        </xdr:nvSpPr>
        <xdr:spPr>
          <a:xfrm>
            <a:off x="14049376" y="361950"/>
            <a:ext cx="2914650" cy="3752850"/>
          </a:xfrm>
          <a:prstGeom prst="roundRect">
            <a:avLst/>
          </a:prstGeom>
          <a:solidFill>
            <a:schemeClr val="bg2">
              <a:lumMod val="5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fr-FR" sz="1800" b="1"/>
              <a:t>SMASH BANDICOOT</a:t>
            </a:r>
          </a:p>
          <a:p>
            <a:pPr algn="ctr"/>
            <a:r>
              <a:rPr lang="fr-FR" sz="1400"/>
              <a:t>Single</a:t>
            </a:r>
            <a:r>
              <a:rPr lang="fr-FR" sz="1400" baseline="0"/>
              <a:t> Malt And Single Hop</a:t>
            </a:r>
            <a:endParaRPr lang="fr-FR" sz="1400"/>
          </a:p>
          <a:p>
            <a:pPr algn="ctr"/>
            <a:r>
              <a:rPr lang="fr-FR" sz="1400"/>
              <a:t>Citra</a:t>
            </a:r>
          </a:p>
        </xdr:txBody>
      </xdr:sp>
      <xdr:pic>
        <xdr:nvPicPr>
          <xdr:cNvPr id="46" name="Image 45">
            <a:extLst>
              <a:ext uri="{FF2B5EF4-FFF2-40B4-BE49-F238E27FC236}">
                <a16:creationId xmlns:a16="http://schemas.microsoft.com/office/drawing/2014/main" id="{EAF7BA2C-5C3D-496D-93EA-BCCFFEB4A3F4}"/>
              </a:ext>
            </a:extLst>
          </xdr:cNvPr>
          <xdr:cNvPicPr>
            <a:picLocks noChangeAspect="1"/>
          </xdr:cNvPicPr>
        </xdr:nvPicPr>
        <xdr:blipFill>
          <a:blip xmlns:r="http://schemas.openxmlformats.org/officeDocument/2006/relationships" r:embed="rId18"/>
          <a:stretch>
            <a:fillRect/>
          </a:stretch>
        </xdr:blipFill>
        <xdr:spPr>
          <a:xfrm>
            <a:off x="14401800" y="1285875"/>
            <a:ext cx="2266472" cy="2495550"/>
          </a:xfrm>
          <a:prstGeom prst="rect">
            <a:avLst/>
          </a:prstGeom>
        </xdr:spPr>
      </xdr:pic>
    </xdr:grpSp>
    <xdr:clientData/>
  </xdr:twoCellAnchor>
  <xdr:twoCellAnchor>
    <xdr:from>
      <xdr:col>5</xdr:col>
      <xdr:colOff>1</xdr:colOff>
      <xdr:row>5</xdr:row>
      <xdr:rowOff>9525</xdr:rowOff>
    </xdr:from>
    <xdr:to>
      <xdr:col>8</xdr:col>
      <xdr:colOff>628651</xdr:colOff>
      <xdr:row>24</xdr:row>
      <xdr:rowOff>142875</xdr:rowOff>
    </xdr:to>
    <xdr:grpSp>
      <xdr:nvGrpSpPr>
        <xdr:cNvPr id="49" name="Groupe 48">
          <a:extLst>
            <a:ext uri="{FF2B5EF4-FFF2-40B4-BE49-F238E27FC236}">
              <a16:creationId xmlns:a16="http://schemas.microsoft.com/office/drawing/2014/main" id="{AEA91DD8-DF52-4842-7D6A-38097689E757}"/>
            </a:ext>
          </a:extLst>
        </xdr:cNvPr>
        <xdr:cNvGrpSpPr/>
      </xdr:nvGrpSpPr>
      <xdr:grpSpPr>
        <a:xfrm>
          <a:off x="3810001" y="962025"/>
          <a:ext cx="2914650" cy="3752850"/>
          <a:chOff x="14211301" y="4514850"/>
          <a:chExt cx="2914650" cy="3752850"/>
        </a:xfrm>
      </xdr:grpSpPr>
      <xdr:sp macro="" textlink="">
        <xdr:nvSpPr>
          <xdr:cNvPr id="44" name="Rectangle : coins arrondis 43" descr="NZ NEIPA Single Hop DDH Nelson Sauvin">
            <a:extLst>
              <a:ext uri="{FF2B5EF4-FFF2-40B4-BE49-F238E27FC236}">
                <a16:creationId xmlns:a16="http://schemas.microsoft.com/office/drawing/2014/main" id="{0B4E5638-6E55-AB3C-346A-009877FB4384}"/>
              </a:ext>
            </a:extLst>
          </xdr:cNvPr>
          <xdr:cNvSpPr/>
        </xdr:nvSpPr>
        <xdr:spPr>
          <a:xfrm>
            <a:off x="14211301" y="4514850"/>
            <a:ext cx="2914650" cy="3752850"/>
          </a:xfrm>
          <a:prstGeom prst="roundRect">
            <a:avLst/>
          </a:prstGeom>
          <a:solidFill>
            <a:srgbClr val="00B0F0"/>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fr-FR" sz="1800" b="1"/>
              <a:t>TROPICAL HOPSHODT</a:t>
            </a:r>
          </a:p>
          <a:p>
            <a:pPr algn="ctr"/>
            <a:r>
              <a:rPr lang="fr-FR" sz="1400"/>
              <a:t>Double belgian IPA</a:t>
            </a:r>
          </a:p>
          <a:p>
            <a:pPr algn="ctr"/>
            <a:r>
              <a:rPr lang="fr-FR" sz="1400"/>
              <a:t>Citra / Mosaic / Motueka</a:t>
            </a:r>
          </a:p>
        </xdr:txBody>
      </xdr:sp>
      <xdr:pic>
        <xdr:nvPicPr>
          <xdr:cNvPr id="48" name="Image 47">
            <a:extLst>
              <a:ext uri="{FF2B5EF4-FFF2-40B4-BE49-F238E27FC236}">
                <a16:creationId xmlns:a16="http://schemas.microsoft.com/office/drawing/2014/main" id="{C713CCAE-30ED-0B28-EBE0-1AB06809D1AD}"/>
              </a:ext>
            </a:extLst>
          </xdr:cNvPr>
          <xdr:cNvPicPr>
            <a:picLocks noChangeAspect="1"/>
          </xdr:cNvPicPr>
        </xdr:nvPicPr>
        <xdr:blipFill>
          <a:blip xmlns:r="http://schemas.openxmlformats.org/officeDocument/2006/relationships" r:embed="rId19"/>
          <a:stretch>
            <a:fillRect/>
          </a:stretch>
        </xdr:blipFill>
        <xdr:spPr>
          <a:xfrm>
            <a:off x="14544675" y="5638800"/>
            <a:ext cx="2285673" cy="2229375"/>
          </a:xfrm>
          <a:prstGeom prst="rect">
            <a:avLst/>
          </a:prstGeom>
        </xdr:spPr>
      </xdr:pic>
    </xdr:grpSp>
    <xdr:clientData/>
  </xdr:twoCellAnchor>
  <xdr:twoCellAnchor>
    <xdr:from>
      <xdr:col>1</xdr:col>
      <xdr:colOff>9525</xdr:colOff>
      <xdr:row>1</xdr:row>
      <xdr:rowOff>0</xdr:rowOff>
    </xdr:from>
    <xdr:to>
      <xdr:col>3</xdr:col>
      <xdr:colOff>259290</xdr:colOff>
      <xdr:row>3</xdr:row>
      <xdr:rowOff>84667</xdr:rowOff>
    </xdr:to>
    <xdr:sp macro="" textlink="">
      <xdr:nvSpPr>
        <xdr:cNvPr id="50" name="Rectangle : coins arrondis 49">
          <a:hlinkClick xmlns:r="http://schemas.openxmlformats.org/officeDocument/2006/relationships" r:id="rId20"/>
          <a:extLst>
            <a:ext uri="{FF2B5EF4-FFF2-40B4-BE49-F238E27FC236}">
              <a16:creationId xmlns:a16="http://schemas.microsoft.com/office/drawing/2014/main" id="{94647992-A4E5-479F-964E-F155C25B6930}"/>
            </a:ext>
          </a:extLst>
        </xdr:cNvPr>
        <xdr:cNvSpPr/>
      </xdr:nvSpPr>
      <xdr:spPr>
        <a:xfrm>
          <a:off x="771525" y="190500"/>
          <a:ext cx="1773765" cy="46566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Ingredients </a:t>
          </a:r>
        </a:p>
      </xdr:txBody>
    </xdr:sp>
    <xdr:clientData/>
  </xdr:twoCellAnchor>
  <xdr:twoCellAnchor>
    <xdr:from>
      <xdr:col>3</xdr:col>
      <xdr:colOff>363008</xdr:colOff>
      <xdr:row>1</xdr:row>
      <xdr:rowOff>10585</xdr:rowOff>
    </xdr:from>
    <xdr:to>
      <xdr:col>5</xdr:col>
      <xdr:colOff>343958</xdr:colOff>
      <xdr:row>3</xdr:row>
      <xdr:rowOff>71970</xdr:rowOff>
    </xdr:to>
    <xdr:sp macro="" textlink="">
      <xdr:nvSpPr>
        <xdr:cNvPr id="51" name="Rectangle : coins arrondis 50">
          <a:hlinkClick xmlns:r="http://schemas.openxmlformats.org/officeDocument/2006/relationships" r:id="rId21"/>
          <a:extLst>
            <a:ext uri="{FF2B5EF4-FFF2-40B4-BE49-F238E27FC236}">
              <a16:creationId xmlns:a16="http://schemas.microsoft.com/office/drawing/2014/main" id="{89B233FD-1D59-4CD5-8F36-20EDC3109333}"/>
            </a:ext>
          </a:extLst>
        </xdr:cNvPr>
        <xdr:cNvSpPr/>
      </xdr:nvSpPr>
      <xdr:spPr>
        <a:xfrm>
          <a:off x="2649008" y="201085"/>
          <a:ext cx="1504950" cy="44238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Convertor</a:t>
          </a:r>
        </a:p>
      </xdr:txBody>
    </xdr:sp>
    <xdr:clientData/>
  </xdr:twoCellAnchor>
  <xdr:twoCellAnchor>
    <xdr:from>
      <xdr:col>5</xdr:col>
      <xdr:colOff>473075</xdr:colOff>
      <xdr:row>1</xdr:row>
      <xdr:rowOff>21168</xdr:rowOff>
    </xdr:from>
    <xdr:to>
      <xdr:col>7</xdr:col>
      <xdr:colOff>454025</xdr:colOff>
      <xdr:row>3</xdr:row>
      <xdr:rowOff>65621</xdr:rowOff>
    </xdr:to>
    <xdr:sp macro="" textlink="">
      <xdr:nvSpPr>
        <xdr:cNvPr id="52" name="Rectangle : coins arrondis 51">
          <a:hlinkClick xmlns:r="http://schemas.openxmlformats.org/officeDocument/2006/relationships" r:id="rId22"/>
          <a:extLst>
            <a:ext uri="{FF2B5EF4-FFF2-40B4-BE49-F238E27FC236}">
              <a16:creationId xmlns:a16="http://schemas.microsoft.com/office/drawing/2014/main" id="{46591814-6283-4B4F-84CD-1F7DE470A42D}"/>
            </a:ext>
          </a:extLst>
        </xdr:cNvPr>
        <xdr:cNvSpPr/>
      </xdr:nvSpPr>
      <xdr:spPr>
        <a:xfrm>
          <a:off x="4283075" y="211668"/>
          <a:ext cx="1504950" cy="42545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Beer style</a:t>
          </a:r>
        </a:p>
      </xdr:txBody>
    </xdr:sp>
    <xdr:clientData/>
  </xdr:twoCellAnchor>
  <xdr:twoCellAnchor>
    <xdr:from>
      <xdr:col>0</xdr:col>
      <xdr:colOff>752475</xdr:colOff>
      <xdr:row>45</xdr:row>
      <xdr:rowOff>9525</xdr:rowOff>
    </xdr:from>
    <xdr:to>
      <xdr:col>4</xdr:col>
      <xdr:colOff>619125</xdr:colOff>
      <xdr:row>64</xdr:row>
      <xdr:rowOff>142875</xdr:rowOff>
    </xdr:to>
    <xdr:sp macro="" textlink="">
      <xdr:nvSpPr>
        <xdr:cNvPr id="54" name="Rectangle : coins arrondis 53" descr="NZ NEIPA Single Hop DDH Nelson Sauvin">
          <a:extLst>
            <a:ext uri="{FF2B5EF4-FFF2-40B4-BE49-F238E27FC236}">
              <a16:creationId xmlns:a16="http://schemas.microsoft.com/office/drawing/2014/main" id="{6058E24C-83ED-7476-3E6F-B119B06C558C}"/>
            </a:ext>
          </a:extLst>
        </xdr:cNvPr>
        <xdr:cNvSpPr/>
      </xdr:nvSpPr>
      <xdr:spPr>
        <a:xfrm>
          <a:off x="752475" y="8582025"/>
          <a:ext cx="2914650" cy="3752850"/>
        </a:xfrm>
        <a:prstGeom prst="roundRect">
          <a:avLst/>
        </a:prstGeom>
        <a:solidFill>
          <a:schemeClr val="tx1"/>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fr-FR" sz="1800" b="1"/>
            <a:t>DUVEL 40ans</a:t>
          </a:r>
        </a:p>
        <a:p>
          <a:pPr algn="ctr"/>
          <a:r>
            <a:rPr lang="fr-FR" sz="1400"/>
            <a:t>Double belgian Ale</a:t>
          </a:r>
        </a:p>
      </xdr:txBody>
    </xdr:sp>
    <xdr:clientData/>
  </xdr:twoCellAnchor>
  <xdr:twoCellAnchor>
    <xdr:from>
      <xdr:col>5</xdr:col>
      <xdr:colOff>9525</xdr:colOff>
      <xdr:row>44</xdr:row>
      <xdr:rowOff>180975</xdr:rowOff>
    </xdr:from>
    <xdr:to>
      <xdr:col>8</xdr:col>
      <xdr:colOff>638175</xdr:colOff>
      <xdr:row>64</xdr:row>
      <xdr:rowOff>123825</xdr:rowOff>
    </xdr:to>
    <xdr:sp macro="" textlink="">
      <xdr:nvSpPr>
        <xdr:cNvPr id="57" name="Rectangle : coins arrondis 56" descr="NZ NEIPA Single Hop DDH Nelson Sauvin">
          <a:extLst>
            <a:ext uri="{FF2B5EF4-FFF2-40B4-BE49-F238E27FC236}">
              <a16:creationId xmlns:a16="http://schemas.microsoft.com/office/drawing/2014/main" id="{2320E8D2-C955-6A45-CA3C-FA62ABAEB6D3}"/>
            </a:ext>
          </a:extLst>
        </xdr:cNvPr>
        <xdr:cNvSpPr/>
      </xdr:nvSpPr>
      <xdr:spPr>
        <a:xfrm>
          <a:off x="3819525" y="8562975"/>
          <a:ext cx="2914650" cy="3752850"/>
        </a:xfrm>
        <a:prstGeom prst="roundRect">
          <a:avLst/>
        </a:prstGeom>
        <a:solidFill>
          <a:schemeClr val="tx1"/>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fr-FR" sz="1800" b="1"/>
            <a:t>CARROT</a:t>
          </a:r>
          <a:r>
            <a:rPr lang="fr-FR" sz="1800" b="1" baseline="0"/>
            <a:t> BEER</a:t>
          </a:r>
          <a:endParaRPr lang="fr-FR" sz="1800" b="1"/>
        </a:p>
        <a:p>
          <a:pPr algn="ctr"/>
          <a:r>
            <a:rPr lang="fr-FR" sz="1400"/>
            <a:t>Carrot wheat</a:t>
          </a:r>
          <a:r>
            <a:rPr lang="fr-FR" sz="1400" baseline="0"/>
            <a:t> IPA</a:t>
          </a:r>
          <a:endParaRPr lang="fr-FR" sz="1400"/>
        </a:p>
      </xdr:txBody>
    </xdr:sp>
    <xdr:clientData/>
  </xdr:twoCellAnchor>
  <xdr:twoCellAnchor>
    <xdr:from>
      <xdr:col>9</xdr:col>
      <xdr:colOff>19050</xdr:colOff>
      <xdr:row>45</xdr:row>
      <xdr:rowOff>0</xdr:rowOff>
    </xdr:from>
    <xdr:to>
      <xdr:col>12</xdr:col>
      <xdr:colOff>647700</xdr:colOff>
      <xdr:row>64</xdr:row>
      <xdr:rowOff>133350</xdr:rowOff>
    </xdr:to>
    <xdr:sp macro="" textlink="">
      <xdr:nvSpPr>
        <xdr:cNvPr id="60" name="Rectangle : coins arrondis 59" descr="NZ NEIPA Single Hop DDH Nelson Sauvin">
          <a:extLst>
            <a:ext uri="{FF2B5EF4-FFF2-40B4-BE49-F238E27FC236}">
              <a16:creationId xmlns:a16="http://schemas.microsoft.com/office/drawing/2014/main" id="{565C657A-C657-F0DA-D83C-96175CD322BA}"/>
            </a:ext>
          </a:extLst>
        </xdr:cNvPr>
        <xdr:cNvSpPr/>
      </xdr:nvSpPr>
      <xdr:spPr>
        <a:xfrm>
          <a:off x="6877050" y="8572500"/>
          <a:ext cx="2914650" cy="3752850"/>
        </a:xfrm>
        <a:prstGeom prst="roundRect">
          <a:avLst/>
        </a:prstGeom>
        <a:solidFill>
          <a:schemeClr val="tx1"/>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fr-FR" sz="1800" b="1"/>
            <a:t> </a:t>
          </a:r>
          <a:endParaRPr lang="fr-FR" sz="14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20</xdr:col>
      <xdr:colOff>137584</xdr:colOff>
      <xdr:row>9</xdr:row>
      <xdr:rowOff>35280</xdr:rowOff>
    </xdr:from>
    <xdr:to>
      <xdr:col>24</xdr:col>
      <xdr:colOff>317501</xdr:colOff>
      <xdr:row>18</xdr:row>
      <xdr:rowOff>119944</xdr:rowOff>
    </xdr:to>
    <xdr:graphicFrame macro="">
      <xdr:nvGraphicFramePr>
        <xdr:cNvPr id="2" name="Graphique 1">
          <a:extLst>
            <a:ext uri="{FF2B5EF4-FFF2-40B4-BE49-F238E27FC236}">
              <a16:creationId xmlns:a16="http://schemas.microsoft.com/office/drawing/2014/main" id="{2EBC98BC-92F4-466E-A07B-A8452BA5248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571501</xdr:colOff>
      <xdr:row>0</xdr:row>
      <xdr:rowOff>31750</xdr:rowOff>
    </xdr:from>
    <xdr:to>
      <xdr:col>18</xdr:col>
      <xdr:colOff>349249</xdr:colOff>
      <xdr:row>2</xdr:row>
      <xdr:rowOff>158749</xdr:rowOff>
    </xdr:to>
    <xdr:sp macro="" textlink="">
      <xdr:nvSpPr>
        <xdr:cNvPr id="3" name="Rectangle : coins arrondis 2">
          <a:hlinkClick xmlns:r="http://schemas.openxmlformats.org/officeDocument/2006/relationships" r:id="rId2"/>
          <a:extLst>
            <a:ext uri="{FF2B5EF4-FFF2-40B4-BE49-F238E27FC236}">
              <a16:creationId xmlns:a16="http://schemas.microsoft.com/office/drawing/2014/main" id="{2205D847-5017-43B6-AF0E-22D205BF71E5}"/>
            </a:ext>
          </a:extLst>
        </xdr:cNvPr>
        <xdr:cNvSpPr/>
      </xdr:nvSpPr>
      <xdr:spPr>
        <a:xfrm>
          <a:off x="10710334" y="31750"/>
          <a:ext cx="1756832" cy="97366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solidFill>
                <a:schemeClr val="lt1"/>
              </a:solidFill>
              <a:effectLst/>
              <a:latin typeface="+mn-lt"/>
              <a:ea typeface="+mn-ea"/>
              <a:cs typeface="+mn-cs"/>
            </a:rPr>
            <a:t>🏠</a:t>
          </a:r>
          <a:r>
            <a:rPr lang="fr-FR" sz="2400"/>
            <a:t>Back to </a:t>
          </a:r>
        </a:p>
        <a:p>
          <a:pPr algn="ctr"/>
          <a:r>
            <a:rPr lang="fr-FR" sz="2400"/>
            <a:t>all recipes  </a:t>
          </a:r>
        </a:p>
      </xdr:txBody>
    </xdr:sp>
    <xdr:clientData/>
  </xdr:twoCellAnchor>
  <xdr:twoCellAnchor>
    <xdr:from>
      <xdr:col>18</xdr:col>
      <xdr:colOff>438150</xdr:colOff>
      <xdr:row>0</xdr:row>
      <xdr:rowOff>264581</xdr:rowOff>
    </xdr:from>
    <xdr:to>
      <xdr:col>21</xdr:col>
      <xdr:colOff>116415</xdr:colOff>
      <xdr:row>1</xdr:row>
      <xdr:rowOff>338665</xdr:rowOff>
    </xdr:to>
    <xdr:sp macro="" textlink="">
      <xdr:nvSpPr>
        <xdr:cNvPr id="4" name="Rectangle : coins arrondis 3">
          <a:hlinkClick xmlns:r="http://schemas.openxmlformats.org/officeDocument/2006/relationships" r:id="rId3"/>
          <a:extLst>
            <a:ext uri="{FF2B5EF4-FFF2-40B4-BE49-F238E27FC236}">
              <a16:creationId xmlns:a16="http://schemas.microsoft.com/office/drawing/2014/main" id="{8143F35C-C304-4083-8D5A-1774F710171D}"/>
            </a:ext>
          </a:extLst>
        </xdr:cNvPr>
        <xdr:cNvSpPr/>
      </xdr:nvSpPr>
      <xdr:spPr>
        <a:xfrm>
          <a:off x="12556067" y="264581"/>
          <a:ext cx="1773765" cy="46566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Ingredients </a:t>
          </a:r>
        </a:p>
      </xdr:txBody>
    </xdr:sp>
    <xdr:clientData/>
  </xdr:twoCellAnchor>
  <xdr:twoCellAnchor>
    <xdr:from>
      <xdr:col>21</xdr:col>
      <xdr:colOff>220133</xdr:colOff>
      <xdr:row>0</xdr:row>
      <xdr:rowOff>275166</xdr:rowOff>
    </xdr:from>
    <xdr:to>
      <xdr:col>23</xdr:col>
      <xdr:colOff>328083</xdr:colOff>
      <xdr:row>1</xdr:row>
      <xdr:rowOff>325968</xdr:rowOff>
    </xdr:to>
    <xdr:sp macro="" textlink="">
      <xdr:nvSpPr>
        <xdr:cNvPr id="6" name="Rectangle : coins arrondis 5">
          <a:hlinkClick xmlns:r="http://schemas.openxmlformats.org/officeDocument/2006/relationships" r:id="rId4"/>
          <a:extLst>
            <a:ext uri="{FF2B5EF4-FFF2-40B4-BE49-F238E27FC236}">
              <a16:creationId xmlns:a16="http://schemas.microsoft.com/office/drawing/2014/main" id="{1839354C-09FB-479F-A32A-D8713C251550}"/>
            </a:ext>
          </a:extLst>
        </xdr:cNvPr>
        <xdr:cNvSpPr/>
      </xdr:nvSpPr>
      <xdr:spPr>
        <a:xfrm>
          <a:off x="14433550" y="275166"/>
          <a:ext cx="1504950" cy="44238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Convertor</a:t>
          </a:r>
        </a:p>
      </xdr:txBody>
    </xdr:sp>
    <xdr:clientData/>
  </xdr:twoCellAnchor>
  <xdr:twoCellAnchor>
    <xdr:from>
      <xdr:col>23</xdr:col>
      <xdr:colOff>457200</xdr:colOff>
      <xdr:row>0</xdr:row>
      <xdr:rowOff>285749</xdr:rowOff>
    </xdr:from>
    <xdr:to>
      <xdr:col>26</xdr:col>
      <xdr:colOff>215900</xdr:colOff>
      <xdr:row>1</xdr:row>
      <xdr:rowOff>319619</xdr:rowOff>
    </xdr:to>
    <xdr:sp macro="" textlink="">
      <xdr:nvSpPr>
        <xdr:cNvPr id="7" name="Rectangle : coins arrondis 6">
          <a:hlinkClick xmlns:r="http://schemas.openxmlformats.org/officeDocument/2006/relationships" r:id="rId5"/>
          <a:extLst>
            <a:ext uri="{FF2B5EF4-FFF2-40B4-BE49-F238E27FC236}">
              <a16:creationId xmlns:a16="http://schemas.microsoft.com/office/drawing/2014/main" id="{A60E212B-E2BC-4960-9A30-3DE7623F1254}"/>
            </a:ext>
          </a:extLst>
        </xdr:cNvPr>
        <xdr:cNvSpPr/>
      </xdr:nvSpPr>
      <xdr:spPr>
        <a:xfrm>
          <a:off x="16067617" y="285749"/>
          <a:ext cx="1504950" cy="42545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Beer style</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24</xdr:col>
      <xdr:colOff>486834</xdr:colOff>
      <xdr:row>9</xdr:row>
      <xdr:rowOff>95250</xdr:rowOff>
    </xdr:from>
    <xdr:to>
      <xdr:col>30</xdr:col>
      <xdr:colOff>165805</xdr:colOff>
      <xdr:row>18</xdr:row>
      <xdr:rowOff>179918</xdr:rowOff>
    </xdr:to>
    <xdr:graphicFrame macro="">
      <xdr:nvGraphicFramePr>
        <xdr:cNvPr id="4" name="Graphique 3">
          <a:extLst>
            <a:ext uri="{FF2B5EF4-FFF2-40B4-BE49-F238E27FC236}">
              <a16:creationId xmlns:a16="http://schemas.microsoft.com/office/drawing/2014/main" id="{0A032549-C963-C8E2-2998-62F22BA6641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20</xdr:col>
      <xdr:colOff>137584</xdr:colOff>
      <xdr:row>9</xdr:row>
      <xdr:rowOff>35280</xdr:rowOff>
    </xdr:from>
    <xdr:to>
      <xdr:col>24</xdr:col>
      <xdr:colOff>317501</xdr:colOff>
      <xdr:row>18</xdr:row>
      <xdr:rowOff>119944</xdr:rowOff>
    </xdr:to>
    <xdr:graphicFrame macro="">
      <xdr:nvGraphicFramePr>
        <xdr:cNvPr id="3" name="Graphique 2">
          <a:extLst>
            <a:ext uri="{FF2B5EF4-FFF2-40B4-BE49-F238E27FC236}">
              <a16:creationId xmlns:a16="http://schemas.microsoft.com/office/drawing/2014/main" id="{A36D59E2-A73C-4BFF-A949-66A79BBFB98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15</xdr:col>
      <xdr:colOff>571500</xdr:colOff>
      <xdr:row>0</xdr:row>
      <xdr:rowOff>0</xdr:rowOff>
    </xdr:from>
    <xdr:to>
      <xdr:col>18</xdr:col>
      <xdr:colOff>370415</xdr:colOff>
      <xdr:row>1</xdr:row>
      <xdr:rowOff>582083</xdr:rowOff>
    </xdr:to>
    <xdr:sp macro="" textlink="">
      <xdr:nvSpPr>
        <xdr:cNvPr id="5" name="Rectangle : coins arrondis 4">
          <a:hlinkClick xmlns:r="http://schemas.openxmlformats.org/officeDocument/2006/relationships" r:id="rId3"/>
          <a:extLst>
            <a:ext uri="{FF2B5EF4-FFF2-40B4-BE49-F238E27FC236}">
              <a16:creationId xmlns:a16="http://schemas.microsoft.com/office/drawing/2014/main" id="{DE38AED3-9EA1-4CE7-8B3C-2C376EB93D9C}"/>
            </a:ext>
          </a:extLst>
        </xdr:cNvPr>
        <xdr:cNvSpPr/>
      </xdr:nvSpPr>
      <xdr:spPr>
        <a:xfrm>
          <a:off x="10668000" y="0"/>
          <a:ext cx="1756832" cy="97366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solidFill>
                <a:schemeClr val="lt1"/>
              </a:solidFill>
              <a:effectLst/>
              <a:latin typeface="+mn-lt"/>
              <a:ea typeface="+mn-ea"/>
              <a:cs typeface="+mn-cs"/>
            </a:rPr>
            <a:t>🏠</a:t>
          </a:r>
          <a:r>
            <a:rPr lang="fr-FR" sz="2400"/>
            <a:t>Back to </a:t>
          </a:r>
        </a:p>
        <a:p>
          <a:pPr algn="ctr"/>
          <a:r>
            <a:rPr lang="fr-FR" sz="2400"/>
            <a:t>all recipes  </a:t>
          </a:r>
        </a:p>
      </xdr:txBody>
    </xdr:sp>
    <xdr:clientData/>
  </xdr:twoCellAnchor>
  <xdr:twoCellAnchor>
    <xdr:from>
      <xdr:col>18</xdr:col>
      <xdr:colOff>459316</xdr:colOff>
      <xdr:row>0</xdr:row>
      <xdr:rowOff>232831</xdr:rowOff>
    </xdr:from>
    <xdr:to>
      <xdr:col>21</xdr:col>
      <xdr:colOff>211665</xdr:colOff>
      <xdr:row>1</xdr:row>
      <xdr:rowOff>306915</xdr:rowOff>
    </xdr:to>
    <xdr:sp macro="" textlink="">
      <xdr:nvSpPr>
        <xdr:cNvPr id="6" name="Rectangle : coins arrondis 5">
          <a:hlinkClick xmlns:r="http://schemas.openxmlformats.org/officeDocument/2006/relationships" r:id="rId4"/>
          <a:extLst>
            <a:ext uri="{FF2B5EF4-FFF2-40B4-BE49-F238E27FC236}">
              <a16:creationId xmlns:a16="http://schemas.microsoft.com/office/drawing/2014/main" id="{7304D17A-CB73-470F-A814-947967D03EE0}"/>
            </a:ext>
          </a:extLst>
        </xdr:cNvPr>
        <xdr:cNvSpPr/>
      </xdr:nvSpPr>
      <xdr:spPr>
        <a:xfrm>
          <a:off x="12513733" y="232831"/>
          <a:ext cx="1773765" cy="46566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Ingredients </a:t>
          </a:r>
        </a:p>
      </xdr:txBody>
    </xdr:sp>
    <xdr:clientData/>
  </xdr:twoCellAnchor>
  <xdr:twoCellAnchor>
    <xdr:from>
      <xdr:col>21</xdr:col>
      <xdr:colOff>315383</xdr:colOff>
      <xdr:row>0</xdr:row>
      <xdr:rowOff>243416</xdr:rowOff>
    </xdr:from>
    <xdr:to>
      <xdr:col>23</xdr:col>
      <xdr:colOff>423333</xdr:colOff>
      <xdr:row>1</xdr:row>
      <xdr:rowOff>294218</xdr:rowOff>
    </xdr:to>
    <xdr:sp macro="" textlink="">
      <xdr:nvSpPr>
        <xdr:cNvPr id="7" name="Rectangle : coins arrondis 6">
          <a:hlinkClick xmlns:r="http://schemas.openxmlformats.org/officeDocument/2006/relationships" r:id="rId5"/>
          <a:extLst>
            <a:ext uri="{FF2B5EF4-FFF2-40B4-BE49-F238E27FC236}">
              <a16:creationId xmlns:a16="http://schemas.microsoft.com/office/drawing/2014/main" id="{E649AA8D-DA27-446C-B239-50CECA0D71D4}"/>
            </a:ext>
          </a:extLst>
        </xdr:cNvPr>
        <xdr:cNvSpPr/>
      </xdr:nvSpPr>
      <xdr:spPr>
        <a:xfrm>
          <a:off x="14391216" y="243416"/>
          <a:ext cx="1504950" cy="44238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Convertor</a:t>
          </a:r>
        </a:p>
      </xdr:txBody>
    </xdr:sp>
    <xdr:clientData/>
  </xdr:twoCellAnchor>
  <xdr:twoCellAnchor>
    <xdr:from>
      <xdr:col>23</xdr:col>
      <xdr:colOff>552450</xdr:colOff>
      <xdr:row>0</xdr:row>
      <xdr:rowOff>253999</xdr:rowOff>
    </xdr:from>
    <xdr:to>
      <xdr:col>26</xdr:col>
      <xdr:colOff>311150</xdr:colOff>
      <xdr:row>1</xdr:row>
      <xdr:rowOff>287869</xdr:rowOff>
    </xdr:to>
    <xdr:sp macro="" textlink="">
      <xdr:nvSpPr>
        <xdr:cNvPr id="8" name="Rectangle : coins arrondis 7">
          <a:hlinkClick xmlns:r="http://schemas.openxmlformats.org/officeDocument/2006/relationships" r:id="rId6"/>
          <a:extLst>
            <a:ext uri="{FF2B5EF4-FFF2-40B4-BE49-F238E27FC236}">
              <a16:creationId xmlns:a16="http://schemas.microsoft.com/office/drawing/2014/main" id="{7E8C7681-2B7E-4B1E-A46A-500DE42EFABC}"/>
            </a:ext>
          </a:extLst>
        </xdr:cNvPr>
        <xdr:cNvSpPr/>
      </xdr:nvSpPr>
      <xdr:spPr>
        <a:xfrm>
          <a:off x="16025283" y="253999"/>
          <a:ext cx="1504950" cy="42545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Beer style</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20</xdr:col>
      <xdr:colOff>137584</xdr:colOff>
      <xdr:row>9</xdr:row>
      <xdr:rowOff>35280</xdr:rowOff>
    </xdr:from>
    <xdr:to>
      <xdr:col>24</xdr:col>
      <xdr:colOff>317501</xdr:colOff>
      <xdr:row>18</xdr:row>
      <xdr:rowOff>119944</xdr:rowOff>
    </xdr:to>
    <xdr:graphicFrame macro="">
      <xdr:nvGraphicFramePr>
        <xdr:cNvPr id="2" name="Graphique 1">
          <a:extLst>
            <a:ext uri="{FF2B5EF4-FFF2-40B4-BE49-F238E27FC236}">
              <a16:creationId xmlns:a16="http://schemas.microsoft.com/office/drawing/2014/main" id="{DF46023D-3EF9-4723-92D9-B74DF343C4A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16</xdr:col>
      <xdr:colOff>0</xdr:colOff>
      <xdr:row>0</xdr:row>
      <xdr:rowOff>116417</xdr:rowOff>
    </xdr:from>
    <xdr:to>
      <xdr:col>18</xdr:col>
      <xdr:colOff>359832</xdr:colOff>
      <xdr:row>1</xdr:row>
      <xdr:rowOff>698500</xdr:rowOff>
    </xdr:to>
    <xdr:sp macro="" textlink="">
      <xdr:nvSpPr>
        <xdr:cNvPr id="3" name="Rectangle : coins arrondis 2">
          <a:hlinkClick xmlns:r="http://schemas.openxmlformats.org/officeDocument/2006/relationships" r:id="rId2"/>
          <a:extLst>
            <a:ext uri="{FF2B5EF4-FFF2-40B4-BE49-F238E27FC236}">
              <a16:creationId xmlns:a16="http://schemas.microsoft.com/office/drawing/2014/main" id="{7E275E38-793B-4F74-9D11-9113377F5BA4}"/>
            </a:ext>
          </a:extLst>
        </xdr:cNvPr>
        <xdr:cNvSpPr/>
      </xdr:nvSpPr>
      <xdr:spPr>
        <a:xfrm>
          <a:off x="10720917" y="116417"/>
          <a:ext cx="1756832" cy="97366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solidFill>
                <a:schemeClr val="lt1"/>
              </a:solidFill>
              <a:effectLst/>
              <a:latin typeface="+mn-lt"/>
              <a:ea typeface="+mn-ea"/>
              <a:cs typeface="+mn-cs"/>
            </a:rPr>
            <a:t>🏠</a:t>
          </a:r>
          <a:r>
            <a:rPr lang="fr-FR" sz="2400"/>
            <a:t>Back to </a:t>
          </a:r>
        </a:p>
        <a:p>
          <a:pPr algn="ctr"/>
          <a:r>
            <a:rPr lang="fr-FR" sz="2400"/>
            <a:t>all recipes  </a:t>
          </a:r>
        </a:p>
      </xdr:txBody>
    </xdr:sp>
    <xdr:clientData/>
  </xdr:twoCellAnchor>
  <xdr:twoCellAnchor>
    <xdr:from>
      <xdr:col>18</xdr:col>
      <xdr:colOff>448733</xdr:colOff>
      <xdr:row>0</xdr:row>
      <xdr:rowOff>349248</xdr:rowOff>
    </xdr:from>
    <xdr:to>
      <xdr:col>21</xdr:col>
      <xdr:colOff>126998</xdr:colOff>
      <xdr:row>1</xdr:row>
      <xdr:rowOff>423332</xdr:rowOff>
    </xdr:to>
    <xdr:sp macro="" textlink="">
      <xdr:nvSpPr>
        <xdr:cNvPr id="4" name="Rectangle : coins arrondis 3">
          <a:hlinkClick xmlns:r="http://schemas.openxmlformats.org/officeDocument/2006/relationships" r:id="rId3"/>
          <a:extLst>
            <a:ext uri="{FF2B5EF4-FFF2-40B4-BE49-F238E27FC236}">
              <a16:creationId xmlns:a16="http://schemas.microsoft.com/office/drawing/2014/main" id="{B97914C7-8B24-43DC-91F4-925B62754FD0}"/>
            </a:ext>
          </a:extLst>
        </xdr:cNvPr>
        <xdr:cNvSpPr/>
      </xdr:nvSpPr>
      <xdr:spPr>
        <a:xfrm>
          <a:off x="12566650" y="349248"/>
          <a:ext cx="1773765" cy="46566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Ingredients </a:t>
          </a:r>
        </a:p>
      </xdr:txBody>
    </xdr:sp>
    <xdr:clientData/>
  </xdr:twoCellAnchor>
  <xdr:twoCellAnchor>
    <xdr:from>
      <xdr:col>21</xdr:col>
      <xdr:colOff>230716</xdr:colOff>
      <xdr:row>0</xdr:row>
      <xdr:rowOff>359833</xdr:rowOff>
    </xdr:from>
    <xdr:to>
      <xdr:col>23</xdr:col>
      <xdr:colOff>338666</xdr:colOff>
      <xdr:row>1</xdr:row>
      <xdr:rowOff>410635</xdr:rowOff>
    </xdr:to>
    <xdr:sp macro="" textlink="">
      <xdr:nvSpPr>
        <xdr:cNvPr id="5" name="Rectangle : coins arrondis 4">
          <a:hlinkClick xmlns:r="http://schemas.openxmlformats.org/officeDocument/2006/relationships" r:id="rId4"/>
          <a:extLst>
            <a:ext uri="{FF2B5EF4-FFF2-40B4-BE49-F238E27FC236}">
              <a16:creationId xmlns:a16="http://schemas.microsoft.com/office/drawing/2014/main" id="{6EF5AFCC-E3D8-4405-8B4A-AA2B4D354B5B}"/>
            </a:ext>
          </a:extLst>
        </xdr:cNvPr>
        <xdr:cNvSpPr/>
      </xdr:nvSpPr>
      <xdr:spPr>
        <a:xfrm>
          <a:off x="14444133" y="359833"/>
          <a:ext cx="1504950" cy="44238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Convertor</a:t>
          </a:r>
        </a:p>
      </xdr:txBody>
    </xdr:sp>
    <xdr:clientData/>
  </xdr:twoCellAnchor>
  <xdr:twoCellAnchor>
    <xdr:from>
      <xdr:col>23</xdr:col>
      <xdr:colOff>467783</xdr:colOff>
      <xdr:row>0</xdr:row>
      <xdr:rowOff>370416</xdr:rowOff>
    </xdr:from>
    <xdr:to>
      <xdr:col>26</xdr:col>
      <xdr:colOff>226483</xdr:colOff>
      <xdr:row>1</xdr:row>
      <xdr:rowOff>404286</xdr:rowOff>
    </xdr:to>
    <xdr:sp macro="" textlink="">
      <xdr:nvSpPr>
        <xdr:cNvPr id="6" name="Rectangle : coins arrondis 5">
          <a:hlinkClick xmlns:r="http://schemas.openxmlformats.org/officeDocument/2006/relationships" r:id="rId5"/>
          <a:extLst>
            <a:ext uri="{FF2B5EF4-FFF2-40B4-BE49-F238E27FC236}">
              <a16:creationId xmlns:a16="http://schemas.microsoft.com/office/drawing/2014/main" id="{DCC894C2-9880-4216-A6DF-DA9480D6028D}"/>
            </a:ext>
          </a:extLst>
        </xdr:cNvPr>
        <xdr:cNvSpPr/>
      </xdr:nvSpPr>
      <xdr:spPr>
        <a:xfrm>
          <a:off x="16078200" y="370416"/>
          <a:ext cx="1504950" cy="42545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Beer style</a:t>
          </a: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20</xdr:col>
      <xdr:colOff>137584</xdr:colOff>
      <xdr:row>9</xdr:row>
      <xdr:rowOff>35280</xdr:rowOff>
    </xdr:from>
    <xdr:to>
      <xdr:col>24</xdr:col>
      <xdr:colOff>317501</xdr:colOff>
      <xdr:row>18</xdr:row>
      <xdr:rowOff>119944</xdr:rowOff>
    </xdr:to>
    <xdr:graphicFrame macro="">
      <xdr:nvGraphicFramePr>
        <xdr:cNvPr id="4" name="Graphique 3">
          <a:extLst>
            <a:ext uri="{FF2B5EF4-FFF2-40B4-BE49-F238E27FC236}">
              <a16:creationId xmlns:a16="http://schemas.microsoft.com/office/drawing/2014/main" id="{DD02BAA4-CE34-41BD-8B5D-B8A9305CD59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16</xdr:col>
      <xdr:colOff>10583</xdr:colOff>
      <xdr:row>0</xdr:row>
      <xdr:rowOff>0</xdr:rowOff>
    </xdr:from>
    <xdr:to>
      <xdr:col>18</xdr:col>
      <xdr:colOff>349248</xdr:colOff>
      <xdr:row>1</xdr:row>
      <xdr:rowOff>582083</xdr:rowOff>
    </xdr:to>
    <xdr:sp macro="" textlink="">
      <xdr:nvSpPr>
        <xdr:cNvPr id="2" name="Rectangle : coins arrondis 1">
          <a:hlinkClick xmlns:r="http://schemas.openxmlformats.org/officeDocument/2006/relationships" r:id="rId2"/>
          <a:extLst>
            <a:ext uri="{FF2B5EF4-FFF2-40B4-BE49-F238E27FC236}">
              <a16:creationId xmlns:a16="http://schemas.microsoft.com/office/drawing/2014/main" id="{3D5C1C64-E703-4959-B553-6A2CC9B4E5C9}"/>
            </a:ext>
          </a:extLst>
        </xdr:cNvPr>
        <xdr:cNvSpPr/>
      </xdr:nvSpPr>
      <xdr:spPr>
        <a:xfrm>
          <a:off x="10689166" y="0"/>
          <a:ext cx="1756832" cy="97366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solidFill>
                <a:schemeClr val="lt1"/>
              </a:solidFill>
              <a:effectLst/>
              <a:latin typeface="+mn-lt"/>
              <a:ea typeface="+mn-ea"/>
              <a:cs typeface="+mn-cs"/>
            </a:rPr>
            <a:t>🏠</a:t>
          </a:r>
          <a:r>
            <a:rPr lang="fr-FR" sz="2400"/>
            <a:t>Back to </a:t>
          </a:r>
        </a:p>
        <a:p>
          <a:pPr algn="ctr"/>
          <a:r>
            <a:rPr lang="fr-FR" sz="2400"/>
            <a:t>all recipes  </a:t>
          </a:r>
        </a:p>
      </xdr:txBody>
    </xdr:sp>
    <xdr:clientData/>
  </xdr:twoCellAnchor>
  <xdr:twoCellAnchor>
    <xdr:from>
      <xdr:col>18</xdr:col>
      <xdr:colOff>438149</xdr:colOff>
      <xdr:row>0</xdr:row>
      <xdr:rowOff>232831</xdr:rowOff>
    </xdr:from>
    <xdr:to>
      <xdr:col>21</xdr:col>
      <xdr:colOff>190497</xdr:colOff>
      <xdr:row>1</xdr:row>
      <xdr:rowOff>306915</xdr:rowOff>
    </xdr:to>
    <xdr:sp macro="" textlink="">
      <xdr:nvSpPr>
        <xdr:cNvPr id="5" name="Rectangle : coins arrondis 4">
          <a:hlinkClick xmlns:r="http://schemas.openxmlformats.org/officeDocument/2006/relationships" r:id="rId3"/>
          <a:extLst>
            <a:ext uri="{FF2B5EF4-FFF2-40B4-BE49-F238E27FC236}">
              <a16:creationId xmlns:a16="http://schemas.microsoft.com/office/drawing/2014/main" id="{18B4010C-195D-4CBD-A44F-C33118209566}"/>
            </a:ext>
          </a:extLst>
        </xdr:cNvPr>
        <xdr:cNvSpPr/>
      </xdr:nvSpPr>
      <xdr:spPr>
        <a:xfrm>
          <a:off x="12534899" y="232831"/>
          <a:ext cx="1773765" cy="46566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Ingredients </a:t>
          </a:r>
        </a:p>
      </xdr:txBody>
    </xdr:sp>
    <xdr:clientData/>
  </xdr:twoCellAnchor>
  <xdr:twoCellAnchor>
    <xdr:from>
      <xdr:col>21</xdr:col>
      <xdr:colOff>294215</xdr:colOff>
      <xdr:row>0</xdr:row>
      <xdr:rowOff>243416</xdr:rowOff>
    </xdr:from>
    <xdr:to>
      <xdr:col>23</xdr:col>
      <xdr:colOff>402165</xdr:colOff>
      <xdr:row>1</xdr:row>
      <xdr:rowOff>294218</xdr:rowOff>
    </xdr:to>
    <xdr:sp macro="" textlink="">
      <xdr:nvSpPr>
        <xdr:cNvPr id="6" name="Rectangle : coins arrondis 5">
          <a:hlinkClick xmlns:r="http://schemas.openxmlformats.org/officeDocument/2006/relationships" r:id="rId4"/>
          <a:extLst>
            <a:ext uri="{FF2B5EF4-FFF2-40B4-BE49-F238E27FC236}">
              <a16:creationId xmlns:a16="http://schemas.microsoft.com/office/drawing/2014/main" id="{996B2B9C-05A7-4286-B4D0-ED7277B92926}"/>
            </a:ext>
          </a:extLst>
        </xdr:cNvPr>
        <xdr:cNvSpPr/>
      </xdr:nvSpPr>
      <xdr:spPr>
        <a:xfrm>
          <a:off x="14412382" y="243416"/>
          <a:ext cx="1504950" cy="44238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Convertor</a:t>
          </a:r>
        </a:p>
      </xdr:txBody>
    </xdr:sp>
    <xdr:clientData/>
  </xdr:twoCellAnchor>
  <xdr:twoCellAnchor>
    <xdr:from>
      <xdr:col>23</xdr:col>
      <xdr:colOff>531282</xdr:colOff>
      <xdr:row>0</xdr:row>
      <xdr:rowOff>253999</xdr:rowOff>
    </xdr:from>
    <xdr:to>
      <xdr:col>26</xdr:col>
      <xdr:colOff>289982</xdr:colOff>
      <xdr:row>1</xdr:row>
      <xdr:rowOff>287869</xdr:rowOff>
    </xdr:to>
    <xdr:sp macro="" textlink="">
      <xdr:nvSpPr>
        <xdr:cNvPr id="7" name="Rectangle : coins arrondis 6">
          <a:hlinkClick xmlns:r="http://schemas.openxmlformats.org/officeDocument/2006/relationships" r:id="rId5"/>
          <a:extLst>
            <a:ext uri="{FF2B5EF4-FFF2-40B4-BE49-F238E27FC236}">
              <a16:creationId xmlns:a16="http://schemas.microsoft.com/office/drawing/2014/main" id="{88C8EF74-8ED1-4BE3-A1FD-B5F5A25BAAC9}"/>
            </a:ext>
          </a:extLst>
        </xdr:cNvPr>
        <xdr:cNvSpPr/>
      </xdr:nvSpPr>
      <xdr:spPr>
        <a:xfrm>
          <a:off x="16046449" y="253999"/>
          <a:ext cx="1504950" cy="42545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Beer style</a:t>
          </a: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20</xdr:col>
      <xdr:colOff>137584</xdr:colOff>
      <xdr:row>9</xdr:row>
      <xdr:rowOff>35280</xdr:rowOff>
    </xdr:from>
    <xdr:to>
      <xdr:col>24</xdr:col>
      <xdr:colOff>317501</xdr:colOff>
      <xdr:row>18</xdr:row>
      <xdr:rowOff>119944</xdr:rowOff>
    </xdr:to>
    <xdr:graphicFrame macro="">
      <xdr:nvGraphicFramePr>
        <xdr:cNvPr id="4" name="Graphique 3">
          <a:extLst>
            <a:ext uri="{FF2B5EF4-FFF2-40B4-BE49-F238E27FC236}">
              <a16:creationId xmlns:a16="http://schemas.microsoft.com/office/drawing/2014/main" id="{803888BC-235F-4536-B219-0626E1104CF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560916</xdr:colOff>
      <xdr:row>0</xdr:row>
      <xdr:rowOff>127000</xdr:rowOff>
    </xdr:from>
    <xdr:to>
      <xdr:col>18</xdr:col>
      <xdr:colOff>317498</xdr:colOff>
      <xdr:row>1</xdr:row>
      <xdr:rowOff>709083</xdr:rowOff>
    </xdr:to>
    <xdr:sp macro="" textlink="">
      <xdr:nvSpPr>
        <xdr:cNvPr id="2" name="Rectangle : coins arrondis 1">
          <a:hlinkClick xmlns:r="http://schemas.openxmlformats.org/officeDocument/2006/relationships" r:id="rId2"/>
          <a:extLst>
            <a:ext uri="{FF2B5EF4-FFF2-40B4-BE49-F238E27FC236}">
              <a16:creationId xmlns:a16="http://schemas.microsoft.com/office/drawing/2014/main" id="{CEFDEE66-EC03-4EAC-8EF5-FAAD77512247}"/>
            </a:ext>
          </a:extLst>
        </xdr:cNvPr>
        <xdr:cNvSpPr/>
      </xdr:nvSpPr>
      <xdr:spPr>
        <a:xfrm>
          <a:off x="10657416" y="127000"/>
          <a:ext cx="1756832" cy="97366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solidFill>
                <a:schemeClr val="lt1"/>
              </a:solidFill>
              <a:effectLst/>
              <a:latin typeface="+mn-lt"/>
              <a:ea typeface="+mn-ea"/>
              <a:cs typeface="+mn-cs"/>
            </a:rPr>
            <a:t>🏠</a:t>
          </a:r>
          <a:r>
            <a:rPr lang="fr-FR" sz="2400"/>
            <a:t>Back to </a:t>
          </a:r>
        </a:p>
        <a:p>
          <a:pPr algn="ctr"/>
          <a:r>
            <a:rPr lang="fr-FR" sz="2400"/>
            <a:t>all recipes  </a:t>
          </a:r>
        </a:p>
      </xdr:txBody>
    </xdr:sp>
    <xdr:clientData/>
  </xdr:twoCellAnchor>
  <xdr:twoCellAnchor>
    <xdr:from>
      <xdr:col>18</xdr:col>
      <xdr:colOff>406399</xdr:colOff>
      <xdr:row>0</xdr:row>
      <xdr:rowOff>359831</xdr:rowOff>
    </xdr:from>
    <xdr:to>
      <xdr:col>21</xdr:col>
      <xdr:colOff>158747</xdr:colOff>
      <xdr:row>1</xdr:row>
      <xdr:rowOff>433915</xdr:rowOff>
    </xdr:to>
    <xdr:sp macro="" textlink="">
      <xdr:nvSpPr>
        <xdr:cNvPr id="5" name="Rectangle : coins arrondis 4">
          <a:hlinkClick xmlns:r="http://schemas.openxmlformats.org/officeDocument/2006/relationships" r:id="rId3"/>
          <a:extLst>
            <a:ext uri="{FF2B5EF4-FFF2-40B4-BE49-F238E27FC236}">
              <a16:creationId xmlns:a16="http://schemas.microsoft.com/office/drawing/2014/main" id="{0D916194-49B0-4375-B018-C3CE0A3AA89A}"/>
            </a:ext>
          </a:extLst>
        </xdr:cNvPr>
        <xdr:cNvSpPr/>
      </xdr:nvSpPr>
      <xdr:spPr>
        <a:xfrm>
          <a:off x="12503149" y="359831"/>
          <a:ext cx="1773765" cy="46566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Ingredients </a:t>
          </a:r>
        </a:p>
      </xdr:txBody>
    </xdr:sp>
    <xdr:clientData/>
  </xdr:twoCellAnchor>
  <xdr:twoCellAnchor>
    <xdr:from>
      <xdr:col>21</xdr:col>
      <xdr:colOff>262465</xdr:colOff>
      <xdr:row>0</xdr:row>
      <xdr:rowOff>370416</xdr:rowOff>
    </xdr:from>
    <xdr:to>
      <xdr:col>23</xdr:col>
      <xdr:colOff>370415</xdr:colOff>
      <xdr:row>1</xdr:row>
      <xdr:rowOff>421218</xdr:rowOff>
    </xdr:to>
    <xdr:sp macro="" textlink="">
      <xdr:nvSpPr>
        <xdr:cNvPr id="6" name="Rectangle : coins arrondis 5">
          <a:hlinkClick xmlns:r="http://schemas.openxmlformats.org/officeDocument/2006/relationships" r:id="rId4"/>
          <a:extLst>
            <a:ext uri="{FF2B5EF4-FFF2-40B4-BE49-F238E27FC236}">
              <a16:creationId xmlns:a16="http://schemas.microsoft.com/office/drawing/2014/main" id="{1A3C5EC2-0539-404C-B520-B3021EA15667}"/>
            </a:ext>
          </a:extLst>
        </xdr:cNvPr>
        <xdr:cNvSpPr/>
      </xdr:nvSpPr>
      <xdr:spPr>
        <a:xfrm>
          <a:off x="14380632" y="370416"/>
          <a:ext cx="1504950" cy="44238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Convertor</a:t>
          </a:r>
        </a:p>
      </xdr:txBody>
    </xdr:sp>
    <xdr:clientData/>
  </xdr:twoCellAnchor>
  <xdr:twoCellAnchor>
    <xdr:from>
      <xdr:col>23</xdr:col>
      <xdr:colOff>499532</xdr:colOff>
      <xdr:row>0</xdr:row>
      <xdr:rowOff>380999</xdr:rowOff>
    </xdr:from>
    <xdr:to>
      <xdr:col>26</xdr:col>
      <xdr:colOff>258232</xdr:colOff>
      <xdr:row>1</xdr:row>
      <xdr:rowOff>414869</xdr:rowOff>
    </xdr:to>
    <xdr:sp macro="" textlink="">
      <xdr:nvSpPr>
        <xdr:cNvPr id="7" name="Rectangle : coins arrondis 6">
          <a:hlinkClick xmlns:r="http://schemas.openxmlformats.org/officeDocument/2006/relationships" r:id="rId5"/>
          <a:extLst>
            <a:ext uri="{FF2B5EF4-FFF2-40B4-BE49-F238E27FC236}">
              <a16:creationId xmlns:a16="http://schemas.microsoft.com/office/drawing/2014/main" id="{06259549-95F7-4CAF-B093-944DCCD35407}"/>
            </a:ext>
          </a:extLst>
        </xdr:cNvPr>
        <xdr:cNvSpPr/>
      </xdr:nvSpPr>
      <xdr:spPr>
        <a:xfrm>
          <a:off x="16014699" y="380999"/>
          <a:ext cx="1504950" cy="42545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Beer style</a:t>
          </a:r>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20</xdr:col>
      <xdr:colOff>137584</xdr:colOff>
      <xdr:row>9</xdr:row>
      <xdr:rowOff>35280</xdr:rowOff>
    </xdr:from>
    <xdr:to>
      <xdr:col>24</xdr:col>
      <xdr:colOff>317501</xdr:colOff>
      <xdr:row>18</xdr:row>
      <xdr:rowOff>119944</xdr:rowOff>
    </xdr:to>
    <xdr:graphicFrame macro="">
      <xdr:nvGraphicFramePr>
        <xdr:cNvPr id="4" name="Graphique 3">
          <a:extLst>
            <a:ext uri="{FF2B5EF4-FFF2-40B4-BE49-F238E27FC236}">
              <a16:creationId xmlns:a16="http://schemas.microsoft.com/office/drawing/2014/main" id="{00A21C0D-34D0-4D8D-998C-79A50DB7CAB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16</xdr:col>
      <xdr:colOff>84666</xdr:colOff>
      <xdr:row>0</xdr:row>
      <xdr:rowOff>158749</xdr:rowOff>
    </xdr:from>
    <xdr:to>
      <xdr:col>18</xdr:col>
      <xdr:colOff>444498</xdr:colOff>
      <xdr:row>1</xdr:row>
      <xdr:rowOff>740832</xdr:rowOff>
    </xdr:to>
    <xdr:sp macro="" textlink="">
      <xdr:nvSpPr>
        <xdr:cNvPr id="2" name="Rectangle : coins arrondis 1">
          <a:hlinkClick xmlns:r="http://schemas.openxmlformats.org/officeDocument/2006/relationships" r:id="rId2"/>
          <a:extLst>
            <a:ext uri="{FF2B5EF4-FFF2-40B4-BE49-F238E27FC236}">
              <a16:creationId xmlns:a16="http://schemas.microsoft.com/office/drawing/2014/main" id="{1B78B57D-8FF3-43A2-94F8-8291F60AA0B1}"/>
            </a:ext>
          </a:extLst>
        </xdr:cNvPr>
        <xdr:cNvSpPr/>
      </xdr:nvSpPr>
      <xdr:spPr>
        <a:xfrm>
          <a:off x="10805583" y="158749"/>
          <a:ext cx="1756832" cy="97366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solidFill>
                <a:schemeClr val="lt1"/>
              </a:solidFill>
              <a:effectLst/>
              <a:latin typeface="+mn-lt"/>
              <a:ea typeface="+mn-ea"/>
              <a:cs typeface="+mn-cs"/>
            </a:rPr>
            <a:t>🏠</a:t>
          </a:r>
          <a:r>
            <a:rPr lang="fr-FR" sz="2400"/>
            <a:t>Back to </a:t>
          </a:r>
        </a:p>
        <a:p>
          <a:pPr algn="ctr"/>
          <a:r>
            <a:rPr lang="fr-FR" sz="2400"/>
            <a:t>all recipes  </a:t>
          </a:r>
        </a:p>
      </xdr:txBody>
    </xdr:sp>
    <xdr:clientData/>
  </xdr:twoCellAnchor>
  <xdr:twoCellAnchor>
    <xdr:from>
      <xdr:col>18</xdr:col>
      <xdr:colOff>533399</xdr:colOff>
      <xdr:row>0</xdr:row>
      <xdr:rowOff>391580</xdr:rowOff>
    </xdr:from>
    <xdr:to>
      <xdr:col>21</xdr:col>
      <xdr:colOff>285748</xdr:colOff>
      <xdr:row>1</xdr:row>
      <xdr:rowOff>465664</xdr:rowOff>
    </xdr:to>
    <xdr:sp macro="" textlink="">
      <xdr:nvSpPr>
        <xdr:cNvPr id="5" name="Rectangle : coins arrondis 4">
          <a:hlinkClick xmlns:r="http://schemas.openxmlformats.org/officeDocument/2006/relationships" r:id="rId3"/>
          <a:extLst>
            <a:ext uri="{FF2B5EF4-FFF2-40B4-BE49-F238E27FC236}">
              <a16:creationId xmlns:a16="http://schemas.microsoft.com/office/drawing/2014/main" id="{FA90BDE7-8579-4B47-B9F8-0AB36C4F9375}"/>
            </a:ext>
          </a:extLst>
        </xdr:cNvPr>
        <xdr:cNvSpPr/>
      </xdr:nvSpPr>
      <xdr:spPr>
        <a:xfrm>
          <a:off x="12651316" y="391580"/>
          <a:ext cx="1773765" cy="46566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Ingredients </a:t>
          </a:r>
        </a:p>
      </xdr:txBody>
    </xdr:sp>
    <xdr:clientData/>
  </xdr:twoCellAnchor>
  <xdr:twoCellAnchor>
    <xdr:from>
      <xdr:col>21</xdr:col>
      <xdr:colOff>389466</xdr:colOff>
      <xdr:row>1</xdr:row>
      <xdr:rowOff>10582</xdr:rowOff>
    </xdr:from>
    <xdr:to>
      <xdr:col>23</xdr:col>
      <xdr:colOff>497416</xdr:colOff>
      <xdr:row>1</xdr:row>
      <xdr:rowOff>452967</xdr:rowOff>
    </xdr:to>
    <xdr:sp macro="" textlink="">
      <xdr:nvSpPr>
        <xdr:cNvPr id="6" name="Rectangle : coins arrondis 5">
          <a:hlinkClick xmlns:r="http://schemas.openxmlformats.org/officeDocument/2006/relationships" r:id="rId4"/>
          <a:extLst>
            <a:ext uri="{FF2B5EF4-FFF2-40B4-BE49-F238E27FC236}">
              <a16:creationId xmlns:a16="http://schemas.microsoft.com/office/drawing/2014/main" id="{75BA3169-419F-4721-B61D-A1209B16CB21}"/>
            </a:ext>
          </a:extLst>
        </xdr:cNvPr>
        <xdr:cNvSpPr/>
      </xdr:nvSpPr>
      <xdr:spPr>
        <a:xfrm>
          <a:off x="14528799" y="402165"/>
          <a:ext cx="1504950" cy="44238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Convertor</a:t>
          </a:r>
        </a:p>
      </xdr:txBody>
    </xdr:sp>
    <xdr:clientData/>
  </xdr:twoCellAnchor>
  <xdr:twoCellAnchor>
    <xdr:from>
      <xdr:col>24</xdr:col>
      <xdr:colOff>44449</xdr:colOff>
      <xdr:row>1</xdr:row>
      <xdr:rowOff>21165</xdr:rowOff>
    </xdr:from>
    <xdr:to>
      <xdr:col>26</xdr:col>
      <xdr:colOff>385233</xdr:colOff>
      <xdr:row>1</xdr:row>
      <xdr:rowOff>446618</xdr:rowOff>
    </xdr:to>
    <xdr:sp macro="" textlink="">
      <xdr:nvSpPr>
        <xdr:cNvPr id="7" name="Rectangle : coins arrondis 6">
          <a:hlinkClick xmlns:r="http://schemas.openxmlformats.org/officeDocument/2006/relationships" r:id="rId5"/>
          <a:extLst>
            <a:ext uri="{FF2B5EF4-FFF2-40B4-BE49-F238E27FC236}">
              <a16:creationId xmlns:a16="http://schemas.microsoft.com/office/drawing/2014/main" id="{560F7871-1649-4C49-8AC4-983336F3F10A}"/>
            </a:ext>
          </a:extLst>
        </xdr:cNvPr>
        <xdr:cNvSpPr/>
      </xdr:nvSpPr>
      <xdr:spPr>
        <a:xfrm>
          <a:off x="16162866" y="412748"/>
          <a:ext cx="1504950" cy="42545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Beer style</a:t>
          </a:r>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22</xdr:col>
      <xdr:colOff>19049</xdr:colOff>
      <xdr:row>13</xdr:row>
      <xdr:rowOff>82904</xdr:rowOff>
    </xdr:from>
    <xdr:to>
      <xdr:col>26</xdr:col>
      <xdr:colOff>461168</xdr:colOff>
      <xdr:row>22</xdr:row>
      <xdr:rowOff>87400</xdr:rowOff>
    </xdr:to>
    <xdr:graphicFrame macro="">
      <xdr:nvGraphicFramePr>
        <xdr:cNvPr id="2" name="Graphique 1">
          <a:extLst>
            <a:ext uri="{FF2B5EF4-FFF2-40B4-BE49-F238E27FC236}">
              <a16:creationId xmlns:a16="http://schemas.microsoft.com/office/drawing/2014/main" id="{F4C42BE5-CF90-4620-97D8-86C047E5758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21</xdr:col>
      <xdr:colOff>889000</xdr:colOff>
      <xdr:row>38</xdr:row>
      <xdr:rowOff>72761</xdr:rowOff>
    </xdr:from>
    <xdr:to>
      <xdr:col>27</xdr:col>
      <xdr:colOff>10583</xdr:colOff>
      <xdr:row>48</xdr:row>
      <xdr:rowOff>130042</xdr:rowOff>
    </xdr:to>
    <xdr:graphicFrame macro="">
      <xdr:nvGraphicFramePr>
        <xdr:cNvPr id="4" name="Graphique 3">
          <a:extLst>
            <a:ext uri="{FF2B5EF4-FFF2-40B4-BE49-F238E27FC236}">
              <a16:creationId xmlns:a16="http://schemas.microsoft.com/office/drawing/2014/main" id="{8FCB6C27-DBE1-44D4-AA3D-A38A933BD84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0</xdr:colOff>
      <xdr:row>0</xdr:row>
      <xdr:rowOff>335642</xdr:rowOff>
    </xdr:from>
    <xdr:to>
      <xdr:col>1</xdr:col>
      <xdr:colOff>179614</xdr:colOff>
      <xdr:row>1</xdr:row>
      <xdr:rowOff>853923</xdr:rowOff>
    </xdr:to>
    <xdr:pic>
      <xdr:nvPicPr>
        <xdr:cNvPr id="6" name="Graphique 5" descr="Bière contour">
          <a:extLst>
            <a:ext uri="{FF2B5EF4-FFF2-40B4-BE49-F238E27FC236}">
              <a16:creationId xmlns:a16="http://schemas.microsoft.com/office/drawing/2014/main" id="{296BEDEA-ACCB-4551-9FEC-7BE1E8BFB86E}"/>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0" y="335642"/>
          <a:ext cx="884464" cy="909864"/>
        </a:xfrm>
        <a:prstGeom prst="rect">
          <a:avLst/>
        </a:prstGeom>
      </xdr:spPr>
    </xdr:pic>
    <xdr:clientData/>
  </xdr:twoCellAnchor>
  <xdr:twoCellAnchor editAs="oneCell">
    <xdr:from>
      <xdr:col>0</xdr:col>
      <xdr:colOff>18143</xdr:colOff>
      <xdr:row>14</xdr:row>
      <xdr:rowOff>45357</xdr:rowOff>
    </xdr:from>
    <xdr:to>
      <xdr:col>1</xdr:col>
      <xdr:colOff>1</xdr:colOff>
      <xdr:row>17</xdr:row>
      <xdr:rowOff>108858</xdr:rowOff>
    </xdr:to>
    <xdr:pic>
      <xdr:nvPicPr>
        <xdr:cNvPr id="7" name="Graphique 6" descr="Cultures contour">
          <a:extLst>
            <a:ext uri="{FF2B5EF4-FFF2-40B4-BE49-F238E27FC236}">
              <a16:creationId xmlns:a16="http://schemas.microsoft.com/office/drawing/2014/main" id="{E4674237-C5A0-408A-A7D1-83EF29A0802E}"/>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8143" y="3579132"/>
          <a:ext cx="686708" cy="692151"/>
        </a:xfrm>
        <a:prstGeom prst="rect">
          <a:avLst/>
        </a:prstGeom>
      </xdr:spPr>
    </xdr:pic>
    <xdr:clientData/>
  </xdr:twoCellAnchor>
  <xdr:twoCellAnchor editAs="oneCell">
    <xdr:from>
      <xdr:col>0</xdr:col>
      <xdr:colOff>1</xdr:colOff>
      <xdr:row>43</xdr:row>
      <xdr:rowOff>63500</xdr:rowOff>
    </xdr:from>
    <xdr:to>
      <xdr:col>1</xdr:col>
      <xdr:colOff>18145</xdr:colOff>
      <xdr:row>47</xdr:row>
      <xdr:rowOff>36288</xdr:rowOff>
    </xdr:to>
    <xdr:pic>
      <xdr:nvPicPr>
        <xdr:cNvPr id="8" name="Graphique 7" descr="Plante contour">
          <a:extLst>
            <a:ext uri="{FF2B5EF4-FFF2-40B4-BE49-F238E27FC236}">
              <a16:creationId xmlns:a16="http://schemas.microsoft.com/office/drawing/2014/main" id="{57A804AA-4E6B-41C9-BC5E-7BEB13B7A4E4}"/>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1" y="9274175"/>
          <a:ext cx="722994" cy="744313"/>
        </a:xfrm>
        <a:prstGeom prst="rect">
          <a:avLst/>
        </a:prstGeom>
      </xdr:spPr>
    </xdr:pic>
    <xdr:clientData/>
  </xdr:twoCellAnchor>
  <xdr:twoCellAnchor editAs="oneCell">
    <xdr:from>
      <xdr:col>0</xdr:col>
      <xdr:colOff>89201</xdr:colOff>
      <xdr:row>55</xdr:row>
      <xdr:rowOff>2721</xdr:rowOff>
    </xdr:from>
    <xdr:to>
      <xdr:col>0</xdr:col>
      <xdr:colOff>653444</xdr:colOff>
      <xdr:row>58</xdr:row>
      <xdr:rowOff>22678</xdr:rowOff>
    </xdr:to>
    <xdr:pic>
      <xdr:nvPicPr>
        <xdr:cNvPr id="9" name="Graphique 8" descr="Microbe contour">
          <a:extLst>
            <a:ext uri="{FF2B5EF4-FFF2-40B4-BE49-F238E27FC236}">
              <a16:creationId xmlns:a16="http://schemas.microsoft.com/office/drawing/2014/main" id="{EBF4A474-CE66-4383-B24B-D86B7189A834}"/>
            </a:ext>
          </a:extLst>
        </xdr:cNvPr>
        <xdr:cNvPicPr>
          <a:picLocks noChangeAspect="1"/>
        </xdr:cNvPicPr>
      </xdr:nvPicPr>
      <xdr:blipFill>
        <a:blip xmlns:r="http://schemas.openxmlformats.org/officeDocument/2006/relationships" r:embed="rId9">
          <a:extLst>
            <a:ext uri="{96DAC541-7B7A-43D3-8B79-37D633B846F1}">
              <asvg:svgBlip xmlns:asvg="http://schemas.microsoft.com/office/drawing/2016/SVG/main" r:embed="rId10"/>
            </a:ext>
          </a:extLst>
        </a:blip>
        <a:stretch>
          <a:fillRect/>
        </a:stretch>
      </xdr:blipFill>
      <xdr:spPr>
        <a:xfrm>
          <a:off x="89201" y="11442246"/>
          <a:ext cx="564243" cy="562882"/>
        </a:xfrm>
        <a:prstGeom prst="rect">
          <a:avLst/>
        </a:prstGeom>
      </xdr:spPr>
    </xdr:pic>
    <xdr:clientData/>
  </xdr:twoCellAnchor>
  <xdr:twoCellAnchor editAs="oneCell">
    <xdr:from>
      <xdr:col>9</xdr:col>
      <xdr:colOff>281214</xdr:colOff>
      <xdr:row>41</xdr:row>
      <xdr:rowOff>154214</xdr:rowOff>
    </xdr:from>
    <xdr:to>
      <xdr:col>10</xdr:col>
      <xdr:colOff>397329</xdr:colOff>
      <xdr:row>46</xdr:row>
      <xdr:rowOff>107043</xdr:rowOff>
    </xdr:to>
    <xdr:pic>
      <xdr:nvPicPr>
        <xdr:cNvPr id="10" name="Graphique 9" descr="Bulles contour">
          <a:extLst>
            <a:ext uri="{FF2B5EF4-FFF2-40B4-BE49-F238E27FC236}">
              <a16:creationId xmlns:a16="http://schemas.microsoft.com/office/drawing/2014/main" id="{E76F571B-F26E-4BEE-8CBF-1FA5CF3065A0}"/>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a:xfrm>
          <a:off x="6139089" y="9002939"/>
          <a:ext cx="878115" cy="905329"/>
        </a:xfrm>
        <a:prstGeom prst="rect">
          <a:avLst/>
        </a:prstGeom>
      </xdr:spPr>
    </xdr:pic>
    <xdr:clientData/>
  </xdr:twoCellAnchor>
  <xdr:twoCellAnchor editAs="oneCell">
    <xdr:from>
      <xdr:col>0</xdr:col>
      <xdr:colOff>0</xdr:colOff>
      <xdr:row>29</xdr:row>
      <xdr:rowOff>61685</xdr:rowOff>
    </xdr:from>
    <xdr:to>
      <xdr:col>1</xdr:col>
      <xdr:colOff>1814</xdr:colOff>
      <xdr:row>32</xdr:row>
      <xdr:rowOff>197756</xdr:rowOff>
    </xdr:to>
    <xdr:pic>
      <xdr:nvPicPr>
        <xdr:cNvPr id="11" name="Graphique 10" descr="Homéopathie contour">
          <a:extLst>
            <a:ext uri="{FF2B5EF4-FFF2-40B4-BE49-F238E27FC236}">
              <a16:creationId xmlns:a16="http://schemas.microsoft.com/office/drawing/2014/main" id="{C46D47AE-A6AE-4E16-8775-0C8703E958F6}"/>
            </a:ext>
          </a:extLst>
        </xdr:cNvPr>
        <xdr:cNvPicPr>
          <a:picLocks noChangeAspect="1"/>
        </xdr:cNvPicPr>
      </xdr:nvPicPr>
      <xdr:blipFill>
        <a:blip xmlns:r="http://schemas.openxmlformats.org/officeDocument/2006/relationships" r:embed="rId13">
          <a:extLst>
            <a:ext uri="{96DAC541-7B7A-43D3-8B79-37D633B846F1}">
              <asvg:svgBlip xmlns:asvg="http://schemas.microsoft.com/office/drawing/2016/SVG/main" r:embed="rId14"/>
            </a:ext>
          </a:extLst>
        </a:blip>
        <a:stretch>
          <a:fillRect/>
        </a:stretch>
      </xdr:blipFill>
      <xdr:spPr>
        <a:xfrm>
          <a:off x="0" y="6586310"/>
          <a:ext cx="706664" cy="707571"/>
        </a:xfrm>
        <a:prstGeom prst="rect">
          <a:avLst/>
        </a:prstGeom>
      </xdr:spPr>
    </xdr:pic>
    <xdr:clientData/>
  </xdr:twoCellAnchor>
  <xdr:twoCellAnchor editAs="oneCell">
    <xdr:from>
      <xdr:col>9</xdr:col>
      <xdr:colOff>335642</xdr:colOff>
      <xdr:row>22</xdr:row>
      <xdr:rowOff>107042</xdr:rowOff>
    </xdr:from>
    <xdr:to>
      <xdr:col>10</xdr:col>
      <xdr:colOff>317500</xdr:colOff>
      <xdr:row>26</xdr:row>
      <xdr:rowOff>161470</xdr:rowOff>
    </xdr:to>
    <xdr:pic>
      <xdr:nvPicPr>
        <xdr:cNvPr id="12" name="Graphique 11" descr="Chaudron contour">
          <a:extLst>
            <a:ext uri="{FF2B5EF4-FFF2-40B4-BE49-F238E27FC236}">
              <a16:creationId xmlns:a16="http://schemas.microsoft.com/office/drawing/2014/main" id="{28C13AD5-F0C1-468B-A2BC-F2DAD7374B85}"/>
            </a:ext>
          </a:extLst>
        </xdr:cNvPr>
        <xdr:cNvPicPr>
          <a:picLocks noChangeAspect="1"/>
        </xdr:cNvPicPr>
      </xdr:nvPicPr>
      <xdr:blipFill>
        <a:blip xmlns:r="http://schemas.openxmlformats.org/officeDocument/2006/relationships" r:embed="rId15">
          <a:extLst>
            <a:ext uri="{96DAC541-7B7A-43D3-8B79-37D633B846F1}">
              <asvg:svgBlip xmlns:asvg="http://schemas.microsoft.com/office/drawing/2016/SVG/main" r:embed="rId16"/>
            </a:ext>
          </a:extLst>
        </a:blip>
        <a:stretch>
          <a:fillRect/>
        </a:stretch>
      </xdr:blipFill>
      <xdr:spPr>
        <a:xfrm>
          <a:off x="6193517" y="5326742"/>
          <a:ext cx="743858" cy="778328"/>
        </a:xfrm>
        <a:prstGeom prst="rect">
          <a:avLst/>
        </a:prstGeom>
      </xdr:spPr>
    </xdr:pic>
    <xdr:clientData/>
  </xdr:twoCellAnchor>
  <xdr:twoCellAnchor editAs="oneCell">
    <xdr:from>
      <xdr:col>9</xdr:col>
      <xdr:colOff>132499</xdr:colOff>
      <xdr:row>5</xdr:row>
      <xdr:rowOff>136072</xdr:rowOff>
    </xdr:from>
    <xdr:to>
      <xdr:col>9</xdr:col>
      <xdr:colOff>760752</xdr:colOff>
      <xdr:row>8</xdr:row>
      <xdr:rowOff>212328</xdr:rowOff>
    </xdr:to>
    <xdr:pic>
      <xdr:nvPicPr>
        <xdr:cNvPr id="13" name="Graphique 12" descr="Homme agriculteur contour">
          <a:extLst>
            <a:ext uri="{FF2B5EF4-FFF2-40B4-BE49-F238E27FC236}">
              <a16:creationId xmlns:a16="http://schemas.microsoft.com/office/drawing/2014/main" id="{67E9BDDC-D5E8-48D3-A7A7-E61F161F9CE3}"/>
            </a:ext>
          </a:extLst>
        </xdr:cNvPr>
        <xdr:cNvPicPr>
          <a:picLocks noChangeAspect="1"/>
        </xdr:cNvPicPr>
      </xdr:nvPicPr>
      <xdr:blipFill>
        <a:blip xmlns:r="http://schemas.openxmlformats.org/officeDocument/2006/relationships" r:embed="rId17">
          <a:extLst>
            <a:ext uri="{96DAC541-7B7A-43D3-8B79-37D633B846F1}">
              <asvg:svgBlip xmlns:asvg="http://schemas.microsoft.com/office/drawing/2016/SVG/main" r:embed="rId18"/>
            </a:ext>
          </a:extLst>
        </a:blip>
        <a:stretch>
          <a:fillRect/>
        </a:stretch>
      </xdr:blipFill>
      <xdr:spPr>
        <a:xfrm>
          <a:off x="5990374" y="1917247"/>
          <a:ext cx="628253" cy="657281"/>
        </a:xfrm>
        <a:prstGeom prst="rect">
          <a:avLst/>
        </a:prstGeom>
      </xdr:spPr>
    </xdr:pic>
    <xdr:clientData/>
  </xdr:twoCellAnchor>
  <xdr:twoCellAnchor editAs="oneCell">
    <xdr:from>
      <xdr:col>10</xdr:col>
      <xdr:colOff>37572</xdr:colOff>
      <xdr:row>6</xdr:row>
      <xdr:rowOff>136071</xdr:rowOff>
    </xdr:from>
    <xdr:to>
      <xdr:col>10</xdr:col>
      <xdr:colOff>454328</xdr:colOff>
      <xdr:row>8</xdr:row>
      <xdr:rowOff>153684</xdr:rowOff>
    </xdr:to>
    <xdr:pic>
      <xdr:nvPicPr>
        <xdr:cNvPr id="14" name="Graphique 13" descr="Feu contour">
          <a:extLst>
            <a:ext uri="{FF2B5EF4-FFF2-40B4-BE49-F238E27FC236}">
              <a16:creationId xmlns:a16="http://schemas.microsoft.com/office/drawing/2014/main" id="{1753C810-8F33-46BD-A0EF-672393FE00A9}"/>
            </a:ext>
          </a:extLst>
        </xdr:cNvPr>
        <xdr:cNvPicPr>
          <a:picLocks noChangeAspect="1"/>
        </xdr:cNvPicPr>
      </xdr:nvPicPr>
      <xdr:blipFill>
        <a:blip xmlns:r="http://schemas.openxmlformats.org/officeDocument/2006/relationships" r:embed="rId19">
          <a:extLst>
            <a:ext uri="{96DAC541-7B7A-43D3-8B79-37D633B846F1}">
              <asvg:svgBlip xmlns:asvg="http://schemas.microsoft.com/office/drawing/2016/SVG/main" r:embed="rId20"/>
            </a:ext>
          </a:extLst>
        </a:blip>
        <a:stretch>
          <a:fillRect/>
        </a:stretch>
      </xdr:blipFill>
      <xdr:spPr>
        <a:xfrm>
          <a:off x="6657447" y="2098221"/>
          <a:ext cx="416756" cy="417663"/>
        </a:xfrm>
        <a:prstGeom prst="rect">
          <a:avLst/>
        </a:prstGeom>
      </xdr:spPr>
    </xdr:pic>
    <xdr:clientData/>
  </xdr:twoCellAnchor>
  <xdr:twoCellAnchor editAs="oneCell">
    <xdr:from>
      <xdr:col>9</xdr:col>
      <xdr:colOff>27214</xdr:colOff>
      <xdr:row>53</xdr:row>
      <xdr:rowOff>99787</xdr:rowOff>
    </xdr:from>
    <xdr:to>
      <xdr:col>10</xdr:col>
      <xdr:colOff>143329</xdr:colOff>
      <xdr:row>58</xdr:row>
      <xdr:rowOff>107043</xdr:rowOff>
    </xdr:to>
    <xdr:pic>
      <xdr:nvPicPr>
        <xdr:cNvPr id="15" name="Graphique 14" descr="Bouteille contour">
          <a:extLst>
            <a:ext uri="{FF2B5EF4-FFF2-40B4-BE49-F238E27FC236}">
              <a16:creationId xmlns:a16="http://schemas.microsoft.com/office/drawing/2014/main" id="{2D3F9865-7DE1-4643-85C3-7AEF67319AAD}"/>
            </a:ext>
          </a:extLst>
        </xdr:cNvPr>
        <xdr:cNvPicPr>
          <a:picLocks noChangeAspect="1"/>
        </xdr:cNvPicPr>
      </xdr:nvPicPr>
      <xdr:blipFill>
        <a:blip xmlns:r="http://schemas.openxmlformats.org/officeDocument/2006/relationships" r:embed="rId21">
          <a:extLst>
            <a:ext uri="{96DAC541-7B7A-43D3-8B79-37D633B846F1}">
              <asvg:svgBlip xmlns:asvg="http://schemas.microsoft.com/office/drawing/2016/SVG/main" r:embed="rId22"/>
            </a:ext>
          </a:extLst>
        </a:blip>
        <a:stretch>
          <a:fillRect/>
        </a:stretch>
      </xdr:blipFill>
      <xdr:spPr>
        <a:xfrm>
          <a:off x="5885089" y="11177362"/>
          <a:ext cx="878115" cy="912131"/>
        </a:xfrm>
        <a:prstGeom prst="rect">
          <a:avLst/>
        </a:prstGeom>
      </xdr:spPr>
    </xdr:pic>
    <xdr:clientData/>
  </xdr:twoCellAnchor>
  <xdr:twoCellAnchor editAs="oneCell">
    <xdr:from>
      <xdr:col>9</xdr:col>
      <xdr:colOff>351971</xdr:colOff>
      <xdr:row>53</xdr:row>
      <xdr:rowOff>97973</xdr:rowOff>
    </xdr:from>
    <xdr:to>
      <xdr:col>10</xdr:col>
      <xdr:colOff>468086</xdr:colOff>
      <xdr:row>58</xdr:row>
      <xdr:rowOff>105229</xdr:rowOff>
    </xdr:to>
    <xdr:pic>
      <xdr:nvPicPr>
        <xdr:cNvPr id="16" name="Graphique 15" descr="Bouteille contour">
          <a:extLst>
            <a:ext uri="{FF2B5EF4-FFF2-40B4-BE49-F238E27FC236}">
              <a16:creationId xmlns:a16="http://schemas.microsoft.com/office/drawing/2014/main" id="{AF478E13-840C-474B-8566-719C59A6F1B3}"/>
            </a:ext>
          </a:extLst>
        </xdr:cNvPr>
        <xdr:cNvPicPr>
          <a:picLocks noChangeAspect="1"/>
        </xdr:cNvPicPr>
      </xdr:nvPicPr>
      <xdr:blipFill>
        <a:blip xmlns:r="http://schemas.openxmlformats.org/officeDocument/2006/relationships" r:embed="rId21">
          <a:extLst>
            <a:ext uri="{96DAC541-7B7A-43D3-8B79-37D633B846F1}">
              <asvg:svgBlip xmlns:asvg="http://schemas.microsoft.com/office/drawing/2016/SVG/main" r:embed="rId22"/>
            </a:ext>
          </a:extLst>
        </a:blip>
        <a:stretch>
          <a:fillRect/>
        </a:stretch>
      </xdr:blipFill>
      <xdr:spPr>
        <a:xfrm>
          <a:off x="6209846" y="11175548"/>
          <a:ext cx="878115" cy="912131"/>
        </a:xfrm>
        <a:prstGeom prst="rect">
          <a:avLst/>
        </a:prstGeom>
      </xdr:spPr>
    </xdr:pic>
    <xdr:clientData/>
  </xdr:twoCellAnchor>
  <xdr:twoCellAnchor>
    <xdr:from>
      <xdr:col>16</xdr:col>
      <xdr:colOff>504825</xdr:colOff>
      <xdr:row>0</xdr:row>
      <xdr:rowOff>323850</xdr:rowOff>
    </xdr:from>
    <xdr:to>
      <xdr:col>19</xdr:col>
      <xdr:colOff>289982</xdr:colOff>
      <xdr:row>1</xdr:row>
      <xdr:rowOff>906991</xdr:rowOff>
    </xdr:to>
    <xdr:sp macro="" textlink="">
      <xdr:nvSpPr>
        <xdr:cNvPr id="3" name="Rectangle : coins arrondis 2">
          <a:hlinkClick xmlns:r="http://schemas.openxmlformats.org/officeDocument/2006/relationships" r:id="rId23"/>
          <a:extLst>
            <a:ext uri="{FF2B5EF4-FFF2-40B4-BE49-F238E27FC236}">
              <a16:creationId xmlns:a16="http://schemas.microsoft.com/office/drawing/2014/main" id="{6DBD0C00-3B09-4572-80F8-2CDC71167382}"/>
            </a:ext>
          </a:extLst>
        </xdr:cNvPr>
        <xdr:cNvSpPr/>
      </xdr:nvSpPr>
      <xdr:spPr>
        <a:xfrm>
          <a:off x="11315700" y="323850"/>
          <a:ext cx="1756832" cy="97366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solidFill>
                <a:schemeClr val="lt1"/>
              </a:solidFill>
              <a:effectLst/>
              <a:latin typeface="+mn-lt"/>
              <a:ea typeface="+mn-ea"/>
              <a:cs typeface="+mn-cs"/>
            </a:rPr>
            <a:t>🏠</a:t>
          </a:r>
          <a:r>
            <a:rPr lang="fr-FR" sz="2400"/>
            <a:t>Back to </a:t>
          </a:r>
        </a:p>
        <a:p>
          <a:pPr algn="ctr"/>
          <a:r>
            <a:rPr lang="fr-FR" sz="2400"/>
            <a:t>all recipes  </a:t>
          </a:r>
        </a:p>
      </xdr:txBody>
    </xdr:sp>
    <xdr:clientData/>
  </xdr:twoCellAnchor>
  <xdr:twoCellAnchor>
    <xdr:from>
      <xdr:col>19</xdr:col>
      <xdr:colOff>378883</xdr:colOff>
      <xdr:row>1</xdr:row>
      <xdr:rowOff>166156</xdr:rowOff>
    </xdr:from>
    <xdr:to>
      <xdr:col>21</xdr:col>
      <xdr:colOff>447673</xdr:colOff>
      <xdr:row>1</xdr:row>
      <xdr:rowOff>631823</xdr:rowOff>
    </xdr:to>
    <xdr:sp macro="" textlink="">
      <xdr:nvSpPr>
        <xdr:cNvPr id="5" name="Rectangle : coins arrondis 4">
          <a:hlinkClick xmlns:r="http://schemas.openxmlformats.org/officeDocument/2006/relationships" r:id="rId24"/>
          <a:extLst>
            <a:ext uri="{FF2B5EF4-FFF2-40B4-BE49-F238E27FC236}">
              <a16:creationId xmlns:a16="http://schemas.microsoft.com/office/drawing/2014/main" id="{667BEBFD-5FD5-4340-9A1D-0FA1A1AA97A7}"/>
            </a:ext>
          </a:extLst>
        </xdr:cNvPr>
        <xdr:cNvSpPr/>
      </xdr:nvSpPr>
      <xdr:spPr>
        <a:xfrm>
          <a:off x="13161433" y="556681"/>
          <a:ext cx="1773765" cy="46566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Ingredients </a:t>
          </a:r>
        </a:p>
      </xdr:txBody>
    </xdr:sp>
    <xdr:clientData/>
  </xdr:twoCellAnchor>
  <xdr:twoCellAnchor>
    <xdr:from>
      <xdr:col>21</xdr:col>
      <xdr:colOff>551391</xdr:colOff>
      <xdr:row>1</xdr:row>
      <xdr:rowOff>176741</xdr:rowOff>
    </xdr:from>
    <xdr:to>
      <xdr:col>23</xdr:col>
      <xdr:colOff>398991</xdr:colOff>
      <xdr:row>1</xdr:row>
      <xdr:rowOff>619126</xdr:rowOff>
    </xdr:to>
    <xdr:sp macro="" textlink="">
      <xdr:nvSpPr>
        <xdr:cNvPr id="17" name="Rectangle : coins arrondis 16">
          <a:hlinkClick xmlns:r="http://schemas.openxmlformats.org/officeDocument/2006/relationships" r:id="rId25"/>
          <a:extLst>
            <a:ext uri="{FF2B5EF4-FFF2-40B4-BE49-F238E27FC236}">
              <a16:creationId xmlns:a16="http://schemas.microsoft.com/office/drawing/2014/main" id="{4C05143B-D424-4076-99F5-01335E8201BA}"/>
            </a:ext>
          </a:extLst>
        </xdr:cNvPr>
        <xdr:cNvSpPr/>
      </xdr:nvSpPr>
      <xdr:spPr>
        <a:xfrm>
          <a:off x="15038916" y="567266"/>
          <a:ext cx="1504950" cy="44238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Convertor</a:t>
          </a:r>
        </a:p>
      </xdr:txBody>
    </xdr:sp>
    <xdr:clientData/>
  </xdr:twoCellAnchor>
  <xdr:twoCellAnchor>
    <xdr:from>
      <xdr:col>23</xdr:col>
      <xdr:colOff>528108</xdr:colOff>
      <xdr:row>1</xdr:row>
      <xdr:rowOff>187324</xdr:rowOff>
    </xdr:from>
    <xdr:to>
      <xdr:col>25</xdr:col>
      <xdr:colOff>604308</xdr:colOff>
      <xdr:row>1</xdr:row>
      <xdr:rowOff>612777</xdr:rowOff>
    </xdr:to>
    <xdr:sp macro="" textlink="">
      <xdr:nvSpPr>
        <xdr:cNvPr id="19" name="Rectangle : coins arrondis 18">
          <a:hlinkClick xmlns:r="http://schemas.openxmlformats.org/officeDocument/2006/relationships" r:id="rId26"/>
          <a:extLst>
            <a:ext uri="{FF2B5EF4-FFF2-40B4-BE49-F238E27FC236}">
              <a16:creationId xmlns:a16="http://schemas.microsoft.com/office/drawing/2014/main" id="{1CE1FEE2-5BA1-4B2F-B0C8-43F6D6C53D96}"/>
            </a:ext>
          </a:extLst>
        </xdr:cNvPr>
        <xdr:cNvSpPr/>
      </xdr:nvSpPr>
      <xdr:spPr>
        <a:xfrm>
          <a:off x="16672983" y="577849"/>
          <a:ext cx="1504950" cy="42545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Beer style</a:t>
          </a: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19</xdr:col>
      <xdr:colOff>87842</xdr:colOff>
      <xdr:row>9</xdr:row>
      <xdr:rowOff>67030</xdr:rowOff>
    </xdr:from>
    <xdr:to>
      <xdr:col>23</xdr:col>
      <xdr:colOff>261409</xdr:colOff>
      <xdr:row>18</xdr:row>
      <xdr:rowOff>154869</xdr:rowOff>
    </xdr:to>
    <xdr:graphicFrame macro="">
      <xdr:nvGraphicFramePr>
        <xdr:cNvPr id="2" name="Graphique 1">
          <a:extLst>
            <a:ext uri="{FF2B5EF4-FFF2-40B4-BE49-F238E27FC236}">
              <a16:creationId xmlns:a16="http://schemas.microsoft.com/office/drawing/2014/main" id="{AD775A8F-52E4-4963-8B76-4738C30429A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571500</xdr:colOff>
      <xdr:row>0</xdr:row>
      <xdr:rowOff>71437</xdr:rowOff>
    </xdr:from>
    <xdr:to>
      <xdr:col>18</xdr:col>
      <xdr:colOff>363801</xdr:colOff>
      <xdr:row>1</xdr:row>
      <xdr:rowOff>652197</xdr:rowOff>
    </xdr:to>
    <xdr:sp macro="" textlink="">
      <xdr:nvSpPr>
        <xdr:cNvPr id="4" name="Rectangle : coins arrondis 3">
          <a:hlinkClick xmlns:r="http://schemas.openxmlformats.org/officeDocument/2006/relationships" r:id="rId2"/>
          <a:extLst>
            <a:ext uri="{FF2B5EF4-FFF2-40B4-BE49-F238E27FC236}">
              <a16:creationId xmlns:a16="http://schemas.microsoft.com/office/drawing/2014/main" id="{47F4F8AE-0E41-42B6-9762-755454B28D06}"/>
            </a:ext>
          </a:extLst>
        </xdr:cNvPr>
        <xdr:cNvSpPr/>
      </xdr:nvSpPr>
      <xdr:spPr>
        <a:xfrm>
          <a:off x="10763250" y="71437"/>
          <a:ext cx="1756832" cy="97366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solidFill>
                <a:schemeClr val="lt1"/>
              </a:solidFill>
              <a:effectLst/>
              <a:latin typeface="+mn-lt"/>
              <a:ea typeface="+mn-ea"/>
              <a:cs typeface="+mn-cs"/>
            </a:rPr>
            <a:t>🏠</a:t>
          </a:r>
          <a:r>
            <a:rPr lang="fr-FR" sz="2400"/>
            <a:t>Back to </a:t>
          </a:r>
        </a:p>
        <a:p>
          <a:pPr algn="ctr"/>
          <a:r>
            <a:rPr lang="fr-FR" sz="2400"/>
            <a:t>all recipes  </a:t>
          </a:r>
        </a:p>
      </xdr:txBody>
    </xdr:sp>
    <xdr:clientData/>
  </xdr:twoCellAnchor>
  <xdr:twoCellAnchor>
    <xdr:from>
      <xdr:col>18</xdr:col>
      <xdr:colOff>452702</xdr:colOff>
      <xdr:row>0</xdr:row>
      <xdr:rowOff>304268</xdr:rowOff>
    </xdr:from>
    <xdr:to>
      <xdr:col>20</xdr:col>
      <xdr:colOff>714373</xdr:colOff>
      <xdr:row>1</xdr:row>
      <xdr:rowOff>377029</xdr:rowOff>
    </xdr:to>
    <xdr:sp macro="" textlink="">
      <xdr:nvSpPr>
        <xdr:cNvPr id="5" name="Rectangle : coins arrondis 4">
          <a:hlinkClick xmlns:r="http://schemas.openxmlformats.org/officeDocument/2006/relationships" r:id="rId3"/>
          <a:extLst>
            <a:ext uri="{FF2B5EF4-FFF2-40B4-BE49-F238E27FC236}">
              <a16:creationId xmlns:a16="http://schemas.microsoft.com/office/drawing/2014/main" id="{079D483F-AA34-4A04-A88F-43CB0F6EFB9A}"/>
            </a:ext>
          </a:extLst>
        </xdr:cNvPr>
        <xdr:cNvSpPr/>
      </xdr:nvSpPr>
      <xdr:spPr>
        <a:xfrm>
          <a:off x="12608983" y="304268"/>
          <a:ext cx="1773765" cy="46566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Ingredients </a:t>
          </a:r>
        </a:p>
      </xdr:txBody>
    </xdr:sp>
    <xdr:clientData/>
  </xdr:twoCellAnchor>
  <xdr:twoCellAnchor>
    <xdr:from>
      <xdr:col>20</xdr:col>
      <xdr:colOff>818091</xdr:colOff>
      <xdr:row>0</xdr:row>
      <xdr:rowOff>314853</xdr:rowOff>
    </xdr:from>
    <xdr:to>
      <xdr:col>23</xdr:col>
      <xdr:colOff>25135</xdr:colOff>
      <xdr:row>1</xdr:row>
      <xdr:rowOff>364332</xdr:rowOff>
    </xdr:to>
    <xdr:sp macro="" textlink="">
      <xdr:nvSpPr>
        <xdr:cNvPr id="6" name="Rectangle : coins arrondis 5">
          <a:hlinkClick xmlns:r="http://schemas.openxmlformats.org/officeDocument/2006/relationships" r:id="rId4"/>
          <a:extLst>
            <a:ext uri="{FF2B5EF4-FFF2-40B4-BE49-F238E27FC236}">
              <a16:creationId xmlns:a16="http://schemas.microsoft.com/office/drawing/2014/main" id="{912AAB55-963D-429D-A53E-9CA9CD336F54}"/>
            </a:ext>
          </a:extLst>
        </xdr:cNvPr>
        <xdr:cNvSpPr/>
      </xdr:nvSpPr>
      <xdr:spPr>
        <a:xfrm>
          <a:off x="14486466" y="314853"/>
          <a:ext cx="1504950" cy="44238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Convertor</a:t>
          </a:r>
        </a:p>
      </xdr:txBody>
    </xdr:sp>
    <xdr:clientData/>
  </xdr:twoCellAnchor>
  <xdr:twoCellAnchor>
    <xdr:from>
      <xdr:col>23</xdr:col>
      <xdr:colOff>154252</xdr:colOff>
      <xdr:row>0</xdr:row>
      <xdr:rowOff>325436</xdr:rowOff>
    </xdr:from>
    <xdr:to>
      <xdr:col>25</xdr:col>
      <xdr:colOff>444764</xdr:colOff>
      <xdr:row>1</xdr:row>
      <xdr:rowOff>357983</xdr:rowOff>
    </xdr:to>
    <xdr:sp macro="" textlink="">
      <xdr:nvSpPr>
        <xdr:cNvPr id="7" name="Rectangle : coins arrondis 6">
          <a:hlinkClick xmlns:r="http://schemas.openxmlformats.org/officeDocument/2006/relationships" r:id="rId5"/>
          <a:extLst>
            <a:ext uri="{FF2B5EF4-FFF2-40B4-BE49-F238E27FC236}">
              <a16:creationId xmlns:a16="http://schemas.microsoft.com/office/drawing/2014/main" id="{A89546B0-F4C5-4314-9CAE-C4645F3A957E}"/>
            </a:ext>
          </a:extLst>
        </xdr:cNvPr>
        <xdr:cNvSpPr/>
      </xdr:nvSpPr>
      <xdr:spPr>
        <a:xfrm>
          <a:off x="16120533" y="325436"/>
          <a:ext cx="1504950" cy="42545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Beer style</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22</xdr:col>
      <xdr:colOff>19049</xdr:colOff>
      <xdr:row>13</xdr:row>
      <xdr:rowOff>82904</xdr:rowOff>
    </xdr:from>
    <xdr:to>
      <xdr:col>26</xdr:col>
      <xdr:colOff>461168</xdr:colOff>
      <xdr:row>22</xdr:row>
      <xdr:rowOff>87400</xdr:rowOff>
    </xdr:to>
    <xdr:graphicFrame macro="">
      <xdr:nvGraphicFramePr>
        <xdr:cNvPr id="2" name="Graphique 1">
          <a:extLst>
            <a:ext uri="{FF2B5EF4-FFF2-40B4-BE49-F238E27FC236}">
              <a16:creationId xmlns:a16="http://schemas.microsoft.com/office/drawing/2014/main" id="{88A9A73A-DCEC-4892-B496-CA034C67F0C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17</xdr:col>
      <xdr:colOff>132025</xdr:colOff>
      <xdr:row>54</xdr:row>
      <xdr:rowOff>89958</xdr:rowOff>
    </xdr:from>
    <xdr:to>
      <xdr:col>31</xdr:col>
      <xdr:colOff>45039</xdr:colOff>
      <xdr:row>79</xdr:row>
      <xdr:rowOff>128718</xdr:rowOff>
    </xdr:to>
    <xdr:pic>
      <xdr:nvPicPr>
        <xdr:cNvPr id="4" name="Image 3">
          <a:extLst>
            <a:ext uri="{FF2B5EF4-FFF2-40B4-BE49-F238E27FC236}">
              <a16:creationId xmlns:a16="http://schemas.microsoft.com/office/drawing/2014/main" id="{B2DA1659-7323-A853-DBD8-E8FF7570A349}"/>
            </a:ext>
          </a:extLst>
        </xdr:cNvPr>
        <xdr:cNvPicPr>
          <a:picLocks noChangeAspect="1"/>
        </xdr:cNvPicPr>
      </xdr:nvPicPr>
      <xdr:blipFill>
        <a:blip xmlns:r="http://schemas.openxmlformats.org/officeDocument/2006/relationships" r:embed="rId2"/>
        <a:stretch>
          <a:fillRect/>
        </a:stretch>
      </xdr:blipFill>
      <xdr:spPr>
        <a:xfrm>
          <a:off x="11551442" y="11414125"/>
          <a:ext cx="9893097" cy="4758927"/>
        </a:xfrm>
        <a:prstGeom prst="rect">
          <a:avLst/>
        </a:prstGeom>
      </xdr:spPr>
    </xdr:pic>
    <xdr:clientData/>
  </xdr:twoCellAnchor>
  <xdr:twoCellAnchor>
    <xdr:from>
      <xdr:col>21</xdr:col>
      <xdr:colOff>889000</xdr:colOff>
      <xdr:row>38</xdr:row>
      <xdr:rowOff>72761</xdr:rowOff>
    </xdr:from>
    <xdr:to>
      <xdr:col>27</xdr:col>
      <xdr:colOff>10583</xdr:colOff>
      <xdr:row>48</xdr:row>
      <xdr:rowOff>130042</xdr:rowOff>
    </xdr:to>
    <xdr:graphicFrame macro="">
      <xdr:nvGraphicFramePr>
        <xdr:cNvPr id="5" name="Graphique 4">
          <a:extLst>
            <a:ext uri="{FF2B5EF4-FFF2-40B4-BE49-F238E27FC236}">
              <a16:creationId xmlns:a16="http://schemas.microsoft.com/office/drawing/2014/main" id="{CCFF3B31-585A-CEA8-F023-BA2FE4153CE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0</xdr:col>
      <xdr:colOff>0</xdr:colOff>
      <xdr:row>0</xdr:row>
      <xdr:rowOff>335642</xdr:rowOff>
    </xdr:from>
    <xdr:to>
      <xdr:col>1</xdr:col>
      <xdr:colOff>179614</xdr:colOff>
      <xdr:row>2</xdr:row>
      <xdr:rowOff>7256</xdr:rowOff>
    </xdr:to>
    <xdr:pic>
      <xdr:nvPicPr>
        <xdr:cNvPr id="7" name="Graphique 6" descr="Bière contour">
          <a:extLst>
            <a:ext uri="{FF2B5EF4-FFF2-40B4-BE49-F238E27FC236}">
              <a16:creationId xmlns:a16="http://schemas.microsoft.com/office/drawing/2014/main" id="{C58127D4-E0F0-A1D0-A566-EB308AF21185}"/>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0" y="335642"/>
          <a:ext cx="914400" cy="914400"/>
        </a:xfrm>
        <a:prstGeom prst="rect">
          <a:avLst/>
        </a:prstGeom>
      </xdr:spPr>
    </xdr:pic>
    <xdr:clientData/>
  </xdr:twoCellAnchor>
  <xdr:twoCellAnchor editAs="oneCell">
    <xdr:from>
      <xdr:col>0</xdr:col>
      <xdr:colOff>18143</xdr:colOff>
      <xdr:row>14</xdr:row>
      <xdr:rowOff>45357</xdr:rowOff>
    </xdr:from>
    <xdr:to>
      <xdr:col>1</xdr:col>
      <xdr:colOff>1</xdr:colOff>
      <xdr:row>17</xdr:row>
      <xdr:rowOff>108858</xdr:rowOff>
    </xdr:to>
    <xdr:pic>
      <xdr:nvPicPr>
        <xdr:cNvPr id="9" name="Graphique 8" descr="Cultures contour">
          <a:extLst>
            <a:ext uri="{FF2B5EF4-FFF2-40B4-BE49-F238E27FC236}">
              <a16:creationId xmlns:a16="http://schemas.microsoft.com/office/drawing/2014/main" id="{45359A4B-A364-635B-EC7A-7448323A4DCB}"/>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8143" y="3637643"/>
          <a:ext cx="716644" cy="716644"/>
        </a:xfrm>
        <a:prstGeom prst="rect">
          <a:avLst/>
        </a:prstGeom>
      </xdr:spPr>
    </xdr:pic>
    <xdr:clientData/>
  </xdr:twoCellAnchor>
  <xdr:twoCellAnchor editAs="oneCell">
    <xdr:from>
      <xdr:col>0</xdr:col>
      <xdr:colOff>1</xdr:colOff>
      <xdr:row>43</xdr:row>
      <xdr:rowOff>63500</xdr:rowOff>
    </xdr:from>
    <xdr:to>
      <xdr:col>1</xdr:col>
      <xdr:colOff>18145</xdr:colOff>
      <xdr:row>47</xdr:row>
      <xdr:rowOff>36287</xdr:rowOff>
    </xdr:to>
    <xdr:pic>
      <xdr:nvPicPr>
        <xdr:cNvPr id="11" name="Graphique 10" descr="Plante contour">
          <a:extLst>
            <a:ext uri="{FF2B5EF4-FFF2-40B4-BE49-F238E27FC236}">
              <a16:creationId xmlns:a16="http://schemas.microsoft.com/office/drawing/2014/main" id="{45BA332B-93BB-44A8-809A-69004E10826E}"/>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 y="9443357"/>
          <a:ext cx="752930" cy="752930"/>
        </a:xfrm>
        <a:prstGeom prst="rect">
          <a:avLst/>
        </a:prstGeom>
      </xdr:spPr>
    </xdr:pic>
    <xdr:clientData/>
  </xdr:twoCellAnchor>
  <xdr:twoCellAnchor editAs="oneCell">
    <xdr:from>
      <xdr:col>0</xdr:col>
      <xdr:colOff>89201</xdr:colOff>
      <xdr:row>55</xdr:row>
      <xdr:rowOff>2721</xdr:rowOff>
    </xdr:from>
    <xdr:to>
      <xdr:col>0</xdr:col>
      <xdr:colOff>653444</xdr:colOff>
      <xdr:row>58</xdr:row>
      <xdr:rowOff>22678</xdr:rowOff>
    </xdr:to>
    <xdr:pic>
      <xdr:nvPicPr>
        <xdr:cNvPr id="15" name="Graphique 14" descr="Microbe contour">
          <a:extLst>
            <a:ext uri="{FF2B5EF4-FFF2-40B4-BE49-F238E27FC236}">
              <a16:creationId xmlns:a16="http://schemas.microsoft.com/office/drawing/2014/main" id="{C24D9E69-C0A0-4FEF-3156-8D229EFB6796}"/>
            </a:ext>
          </a:extLst>
        </xdr:cNvPr>
        <xdr:cNvPicPr>
          <a:picLocks noChangeAspect="1"/>
        </xdr:cNvPicPr>
      </xdr:nvPicPr>
      <xdr:blipFill>
        <a:blip xmlns:r="http://schemas.openxmlformats.org/officeDocument/2006/relationships" r:embed="rId10">
          <a:extLst>
            <a:ext uri="{96DAC541-7B7A-43D3-8B79-37D633B846F1}">
              <asvg:svgBlip xmlns:asvg="http://schemas.microsoft.com/office/drawing/2016/SVG/main" r:embed="rId11"/>
            </a:ext>
          </a:extLst>
        </a:blip>
        <a:stretch>
          <a:fillRect/>
        </a:stretch>
      </xdr:blipFill>
      <xdr:spPr>
        <a:xfrm>
          <a:off x="89201" y="11506804"/>
          <a:ext cx="564243" cy="559707"/>
        </a:xfrm>
        <a:prstGeom prst="rect">
          <a:avLst/>
        </a:prstGeom>
      </xdr:spPr>
    </xdr:pic>
    <xdr:clientData/>
  </xdr:twoCellAnchor>
  <xdr:twoCellAnchor editAs="oneCell">
    <xdr:from>
      <xdr:col>9</xdr:col>
      <xdr:colOff>281214</xdr:colOff>
      <xdr:row>41</xdr:row>
      <xdr:rowOff>154214</xdr:rowOff>
    </xdr:from>
    <xdr:to>
      <xdr:col>10</xdr:col>
      <xdr:colOff>397329</xdr:colOff>
      <xdr:row>46</xdr:row>
      <xdr:rowOff>107043</xdr:rowOff>
    </xdr:to>
    <xdr:pic>
      <xdr:nvPicPr>
        <xdr:cNvPr id="17" name="Graphique 16" descr="Bulles contour">
          <a:extLst>
            <a:ext uri="{FF2B5EF4-FFF2-40B4-BE49-F238E27FC236}">
              <a16:creationId xmlns:a16="http://schemas.microsoft.com/office/drawing/2014/main" id="{25FCEE82-82DC-9F25-5B79-BB43653DEB3F}"/>
            </a:ext>
          </a:extLst>
        </xdr:cNvPr>
        <xdr:cNvPicPr>
          <a:picLocks noChangeAspect="1"/>
        </xdr:cNvPicPr>
      </xdr:nvPicPr>
      <xdr:blipFill>
        <a:blip xmlns:r="http://schemas.openxmlformats.org/officeDocument/2006/relationships" r:embed="rId12">
          <a:extLst>
            <a:ext uri="{96DAC541-7B7A-43D3-8B79-37D633B846F1}">
              <asvg:svgBlip xmlns:asvg="http://schemas.microsoft.com/office/drawing/2016/SVG/main" r:embed="rId13"/>
            </a:ext>
          </a:extLst>
        </a:blip>
        <a:stretch>
          <a:fillRect/>
        </a:stretch>
      </xdr:blipFill>
      <xdr:spPr>
        <a:xfrm>
          <a:off x="6558643" y="9171214"/>
          <a:ext cx="914400" cy="914400"/>
        </a:xfrm>
        <a:prstGeom prst="rect">
          <a:avLst/>
        </a:prstGeom>
      </xdr:spPr>
    </xdr:pic>
    <xdr:clientData/>
  </xdr:twoCellAnchor>
  <xdr:twoCellAnchor editAs="oneCell">
    <xdr:from>
      <xdr:col>0</xdr:col>
      <xdr:colOff>0</xdr:colOff>
      <xdr:row>29</xdr:row>
      <xdr:rowOff>61685</xdr:rowOff>
    </xdr:from>
    <xdr:to>
      <xdr:col>0</xdr:col>
      <xdr:colOff>706664</xdr:colOff>
      <xdr:row>32</xdr:row>
      <xdr:rowOff>197756</xdr:rowOff>
    </xdr:to>
    <xdr:pic>
      <xdr:nvPicPr>
        <xdr:cNvPr id="19" name="Graphique 18" descr="Homéopathie contour">
          <a:extLst>
            <a:ext uri="{FF2B5EF4-FFF2-40B4-BE49-F238E27FC236}">
              <a16:creationId xmlns:a16="http://schemas.microsoft.com/office/drawing/2014/main" id="{A0C8E309-C71F-E4D2-0BE8-2DF97850BB17}"/>
            </a:ext>
          </a:extLst>
        </xdr:cNvPr>
        <xdr:cNvPicPr>
          <a:picLocks noChangeAspect="1"/>
        </xdr:cNvPicPr>
      </xdr:nvPicPr>
      <xdr:blipFill>
        <a:blip xmlns:r="http://schemas.openxmlformats.org/officeDocument/2006/relationships" r:embed="rId14">
          <a:extLst>
            <a:ext uri="{96DAC541-7B7A-43D3-8B79-37D633B846F1}">
              <asvg:svgBlip xmlns:asvg="http://schemas.microsoft.com/office/drawing/2016/SVG/main" r:embed="rId15"/>
            </a:ext>
          </a:extLst>
        </a:blip>
        <a:stretch>
          <a:fillRect/>
        </a:stretch>
      </xdr:blipFill>
      <xdr:spPr>
        <a:xfrm>
          <a:off x="0" y="6701971"/>
          <a:ext cx="725714" cy="725714"/>
        </a:xfrm>
        <a:prstGeom prst="rect">
          <a:avLst/>
        </a:prstGeom>
      </xdr:spPr>
    </xdr:pic>
    <xdr:clientData/>
  </xdr:twoCellAnchor>
  <xdr:twoCellAnchor editAs="oneCell">
    <xdr:from>
      <xdr:col>9</xdr:col>
      <xdr:colOff>335642</xdr:colOff>
      <xdr:row>22</xdr:row>
      <xdr:rowOff>107042</xdr:rowOff>
    </xdr:from>
    <xdr:to>
      <xdr:col>10</xdr:col>
      <xdr:colOff>317500</xdr:colOff>
      <xdr:row>26</xdr:row>
      <xdr:rowOff>161470</xdr:rowOff>
    </xdr:to>
    <xdr:pic>
      <xdr:nvPicPr>
        <xdr:cNvPr id="21" name="Graphique 20" descr="Chaudron contour">
          <a:extLst>
            <a:ext uri="{FF2B5EF4-FFF2-40B4-BE49-F238E27FC236}">
              <a16:creationId xmlns:a16="http://schemas.microsoft.com/office/drawing/2014/main" id="{1295B842-0E4F-60AE-AB56-2BC90A303AC3}"/>
            </a:ext>
          </a:extLst>
        </xdr:cNvPr>
        <xdr:cNvPicPr>
          <a:picLocks noChangeAspect="1"/>
        </xdr:cNvPicPr>
      </xdr:nvPicPr>
      <xdr:blipFill>
        <a:blip xmlns:r="http://schemas.openxmlformats.org/officeDocument/2006/relationships" r:embed="rId16">
          <a:extLst>
            <a:ext uri="{96DAC541-7B7A-43D3-8B79-37D633B846F1}">
              <asvg:svgBlip xmlns:asvg="http://schemas.microsoft.com/office/drawing/2016/SVG/main" r:embed="rId17"/>
            </a:ext>
          </a:extLst>
        </a:blip>
        <a:stretch>
          <a:fillRect/>
        </a:stretch>
      </xdr:blipFill>
      <xdr:spPr>
        <a:xfrm>
          <a:off x="6613071" y="5441042"/>
          <a:ext cx="780143" cy="780143"/>
        </a:xfrm>
        <a:prstGeom prst="rect">
          <a:avLst/>
        </a:prstGeom>
      </xdr:spPr>
    </xdr:pic>
    <xdr:clientData/>
  </xdr:twoCellAnchor>
  <xdr:twoCellAnchor editAs="oneCell">
    <xdr:from>
      <xdr:col>9</xdr:col>
      <xdr:colOff>132499</xdr:colOff>
      <xdr:row>5</xdr:row>
      <xdr:rowOff>136072</xdr:rowOff>
    </xdr:from>
    <xdr:to>
      <xdr:col>9</xdr:col>
      <xdr:colOff>760752</xdr:colOff>
      <xdr:row>8</xdr:row>
      <xdr:rowOff>212328</xdr:rowOff>
    </xdr:to>
    <xdr:pic>
      <xdr:nvPicPr>
        <xdr:cNvPr id="29" name="Graphique 28" descr="Homme agriculteur contour">
          <a:extLst>
            <a:ext uri="{FF2B5EF4-FFF2-40B4-BE49-F238E27FC236}">
              <a16:creationId xmlns:a16="http://schemas.microsoft.com/office/drawing/2014/main" id="{8CCB31BE-7270-F294-A2EC-FA9E849C5D04}"/>
            </a:ext>
          </a:extLst>
        </xdr:cNvPr>
        <xdr:cNvPicPr>
          <a:picLocks noChangeAspect="1"/>
        </xdr:cNvPicPr>
      </xdr:nvPicPr>
      <xdr:blipFill>
        <a:blip xmlns:r="http://schemas.openxmlformats.org/officeDocument/2006/relationships" r:embed="rId18">
          <a:extLst>
            <a:ext uri="{96DAC541-7B7A-43D3-8B79-37D633B846F1}">
              <asvg:svgBlip xmlns:asvg="http://schemas.microsoft.com/office/drawing/2016/SVG/main" r:embed="rId19"/>
            </a:ext>
          </a:extLst>
        </a:blip>
        <a:stretch>
          <a:fillRect/>
        </a:stretch>
      </xdr:blipFill>
      <xdr:spPr>
        <a:xfrm>
          <a:off x="6409928" y="1923143"/>
          <a:ext cx="656828" cy="656828"/>
        </a:xfrm>
        <a:prstGeom prst="rect">
          <a:avLst/>
        </a:prstGeom>
      </xdr:spPr>
    </xdr:pic>
    <xdr:clientData/>
  </xdr:twoCellAnchor>
  <xdr:twoCellAnchor editAs="oneCell">
    <xdr:from>
      <xdr:col>10</xdr:col>
      <xdr:colOff>37572</xdr:colOff>
      <xdr:row>6</xdr:row>
      <xdr:rowOff>136071</xdr:rowOff>
    </xdr:from>
    <xdr:to>
      <xdr:col>10</xdr:col>
      <xdr:colOff>454328</xdr:colOff>
      <xdr:row>8</xdr:row>
      <xdr:rowOff>153684</xdr:rowOff>
    </xdr:to>
    <xdr:pic>
      <xdr:nvPicPr>
        <xdr:cNvPr id="31" name="Graphique 30" descr="Feu contour">
          <a:extLst>
            <a:ext uri="{FF2B5EF4-FFF2-40B4-BE49-F238E27FC236}">
              <a16:creationId xmlns:a16="http://schemas.microsoft.com/office/drawing/2014/main" id="{5498F022-7F09-6FF7-48E9-C7465AE216B1}"/>
            </a:ext>
          </a:extLst>
        </xdr:cNvPr>
        <xdr:cNvPicPr>
          <a:picLocks noChangeAspect="1"/>
        </xdr:cNvPicPr>
      </xdr:nvPicPr>
      <xdr:blipFill>
        <a:blip xmlns:r="http://schemas.openxmlformats.org/officeDocument/2006/relationships" r:embed="rId20">
          <a:extLst>
            <a:ext uri="{96DAC541-7B7A-43D3-8B79-37D633B846F1}">
              <asvg:svgBlip xmlns:asvg="http://schemas.microsoft.com/office/drawing/2016/SVG/main" r:embed="rId21"/>
            </a:ext>
          </a:extLst>
        </a:blip>
        <a:stretch>
          <a:fillRect/>
        </a:stretch>
      </xdr:blipFill>
      <xdr:spPr>
        <a:xfrm>
          <a:off x="7113286" y="2104571"/>
          <a:ext cx="416756" cy="416756"/>
        </a:xfrm>
        <a:prstGeom prst="rect">
          <a:avLst/>
        </a:prstGeom>
      </xdr:spPr>
    </xdr:pic>
    <xdr:clientData/>
  </xdr:twoCellAnchor>
  <xdr:twoCellAnchor editAs="oneCell">
    <xdr:from>
      <xdr:col>9</xdr:col>
      <xdr:colOff>27214</xdr:colOff>
      <xdr:row>53</xdr:row>
      <xdr:rowOff>99787</xdr:rowOff>
    </xdr:from>
    <xdr:to>
      <xdr:col>10</xdr:col>
      <xdr:colOff>143329</xdr:colOff>
      <xdr:row>58</xdr:row>
      <xdr:rowOff>107042</xdr:rowOff>
    </xdr:to>
    <xdr:pic>
      <xdr:nvPicPr>
        <xdr:cNvPr id="35" name="Graphique 34" descr="Bouteille contour">
          <a:extLst>
            <a:ext uri="{FF2B5EF4-FFF2-40B4-BE49-F238E27FC236}">
              <a16:creationId xmlns:a16="http://schemas.microsoft.com/office/drawing/2014/main" id="{9E2061C3-B8C2-3861-FDC5-4E9F3F293DDD}"/>
            </a:ext>
          </a:extLst>
        </xdr:cNvPr>
        <xdr:cNvPicPr>
          <a:picLocks noChangeAspect="1"/>
        </xdr:cNvPicPr>
      </xdr:nvPicPr>
      <xdr:blipFill>
        <a:blip xmlns:r="http://schemas.openxmlformats.org/officeDocument/2006/relationships" r:embed="rId22">
          <a:extLst>
            <a:ext uri="{96DAC541-7B7A-43D3-8B79-37D633B846F1}">
              <asvg:svgBlip xmlns:asvg="http://schemas.microsoft.com/office/drawing/2016/SVG/main" r:embed="rId23"/>
            </a:ext>
          </a:extLst>
        </a:blip>
        <a:stretch>
          <a:fillRect/>
        </a:stretch>
      </xdr:blipFill>
      <xdr:spPr>
        <a:xfrm>
          <a:off x="6304643" y="11357430"/>
          <a:ext cx="914400" cy="914400"/>
        </a:xfrm>
        <a:prstGeom prst="rect">
          <a:avLst/>
        </a:prstGeom>
      </xdr:spPr>
    </xdr:pic>
    <xdr:clientData/>
  </xdr:twoCellAnchor>
  <xdr:twoCellAnchor editAs="oneCell">
    <xdr:from>
      <xdr:col>9</xdr:col>
      <xdr:colOff>351971</xdr:colOff>
      <xdr:row>53</xdr:row>
      <xdr:rowOff>97973</xdr:rowOff>
    </xdr:from>
    <xdr:to>
      <xdr:col>10</xdr:col>
      <xdr:colOff>468086</xdr:colOff>
      <xdr:row>58</xdr:row>
      <xdr:rowOff>105228</xdr:rowOff>
    </xdr:to>
    <xdr:pic>
      <xdr:nvPicPr>
        <xdr:cNvPr id="38" name="Graphique 37" descr="Bouteille contour">
          <a:extLst>
            <a:ext uri="{FF2B5EF4-FFF2-40B4-BE49-F238E27FC236}">
              <a16:creationId xmlns:a16="http://schemas.microsoft.com/office/drawing/2014/main" id="{8B55EDAF-B1D0-4DC8-B4F3-FFCC4F15E2FC}"/>
            </a:ext>
          </a:extLst>
        </xdr:cNvPr>
        <xdr:cNvPicPr>
          <a:picLocks noChangeAspect="1"/>
        </xdr:cNvPicPr>
      </xdr:nvPicPr>
      <xdr:blipFill>
        <a:blip xmlns:r="http://schemas.openxmlformats.org/officeDocument/2006/relationships" r:embed="rId22">
          <a:extLst>
            <a:ext uri="{96DAC541-7B7A-43D3-8B79-37D633B846F1}">
              <asvg:svgBlip xmlns:asvg="http://schemas.microsoft.com/office/drawing/2016/SVG/main" r:embed="rId23"/>
            </a:ext>
          </a:extLst>
        </a:blip>
        <a:stretch>
          <a:fillRect/>
        </a:stretch>
      </xdr:blipFill>
      <xdr:spPr>
        <a:xfrm>
          <a:off x="6629400" y="11355616"/>
          <a:ext cx="914400" cy="914400"/>
        </a:xfrm>
        <a:prstGeom prst="rect">
          <a:avLst/>
        </a:prstGeom>
      </xdr:spPr>
    </xdr:pic>
    <xdr:clientData/>
  </xdr:twoCellAnchor>
  <xdr:twoCellAnchor editAs="oneCell">
    <xdr:from>
      <xdr:col>16</xdr:col>
      <xdr:colOff>423333</xdr:colOff>
      <xdr:row>50</xdr:row>
      <xdr:rowOff>105833</xdr:rowOff>
    </xdr:from>
    <xdr:to>
      <xdr:col>20</xdr:col>
      <xdr:colOff>351174</xdr:colOff>
      <xdr:row>67</xdr:row>
      <xdr:rowOff>127000</xdr:rowOff>
    </xdr:to>
    <xdr:pic>
      <xdr:nvPicPr>
        <xdr:cNvPr id="8" name="Image 7">
          <a:extLst>
            <a:ext uri="{FF2B5EF4-FFF2-40B4-BE49-F238E27FC236}">
              <a16:creationId xmlns:a16="http://schemas.microsoft.com/office/drawing/2014/main" id="{EB239D50-E789-2B09-DBCF-FF551F53B9CC}"/>
            </a:ext>
          </a:extLst>
        </xdr:cNvPr>
        <xdr:cNvPicPr>
          <a:picLocks noChangeAspect="1"/>
        </xdr:cNvPicPr>
      </xdr:nvPicPr>
      <xdr:blipFill>
        <a:blip xmlns:r="http://schemas.openxmlformats.org/officeDocument/2006/relationships" r:embed="rId24"/>
        <a:stretch>
          <a:fillRect/>
        </a:stretch>
      </xdr:blipFill>
      <xdr:spPr>
        <a:xfrm>
          <a:off x="11260666" y="10763250"/>
          <a:ext cx="2838258" cy="3175000"/>
        </a:xfrm>
        <a:prstGeom prst="rect">
          <a:avLst/>
        </a:prstGeom>
      </xdr:spPr>
    </xdr:pic>
    <xdr:clientData/>
  </xdr:twoCellAnchor>
  <xdr:twoCellAnchor>
    <xdr:from>
      <xdr:col>17</xdr:col>
      <xdr:colOff>10584</xdr:colOff>
      <xdr:row>0</xdr:row>
      <xdr:rowOff>127001</xdr:rowOff>
    </xdr:from>
    <xdr:to>
      <xdr:col>19</xdr:col>
      <xdr:colOff>370416</xdr:colOff>
      <xdr:row>1</xdr:row>
      <xdr:rowOff>709084</xdr:rowOff>
    </xdr:to>
    <xdr:sp macro="" textlink="">
      <xdr:nvSpPr>
        <xdr:cNvPr id="3" name="Rectangle : coins arrondis 2">
          <a:hlinkClick xmlns:r="http://schemas.openxmlformats.org/officeDocument/2006/relationships" r:id="rId25"/>
          <a:extLst>
            <a:ext uri="{FF2B5EF4-FFF2-40B4-BE49-F238E27FC236}">
              <a16:creationId xmlns:a16="http://schemas.microsoft.com/office/drawing/2014/main" id="{B16C7E2B-6040-DBA2-0F97-0FED3D137253}"/>
            </a:ext>
          </a:extLst>
        </xdr:cNvPr>
        <xdr:cNvSpPr/>
      </xdr:nvSpPr>
      <xdr:spPr>
        <a:xfrm>
          <a:off x="11430001" y="127001"/>
          <a:ext cx="1756832" cy="97366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solidFill>
                <a:schemeClr val="lt1"/>
              </a:solidFill>
              <a:effectLst/>
              <a:latin typeface="+mn-lt"/>
              <a:ea typeface="+mn-ea"/>
              <a:cs typeface="+mn-cs"/>
            </a:rPr>
            <a:t>🏠</a:t>
          </a:r>
          <a:r>
            <a:rPr lang="fr-FR" sz="2400"/>
            <a:t>Back to </a:t>
          </a:r>
        </a:p>
        <a:p>
          <a:pPr algn="ctr"/>
          <a:r>
            <a:rPr lang="fr-FR" sz="2400"/>
            <a:t>all recipes  </a:t>
          </a:r>
        </a:p>
      </xdr:txBody>
    </xdr:sp>
    <xdr:clientData/>
  </xdr:twoCellAnchor>
  <xdr:twoCellAnchor>
    <xdr:from>
      <xdr:col>19</xdr:col>
      <xdr:colOff>459317</xdr:colOff>
      <xdr:row>0</xdr:row>
      <xdr:rowOff>359832</xdr:rowOff>
    </xdr:from>
    <xdr:to>
      <xdr:col>21</xdr:col>
      <xdr:colOff>529166</xdr:colOff>
      <xdr:row>1</xdr:row>
      <xdr:rowOff>433916</xdr:rowOff>
    </xdr:to>
    <xdr:sp macro="" textlink="">
      <xdr:nvSpPr>
        <xdr:cNvPr id="6" name="Rectangle : coins arrondis 5">
          <a:hlinkClick xmlns:r="http://schemas.openxmlformats.org/officeDocument/2006/relationships" r:id="rId26"/>
          <a:extLst>
            <a:ext uri="{FF2B5EF4-FFF2-40B4-BE49-F238E27FC236}">
              <a16:creationId xmlns:a16="http://schemas.microsoft.com/office/drawing/2014/main" id="{728C0AAA-4399-40D9-BADD-16BD5EF6C3F8}"/>
            </a:ext>
          </a:extLst>
        </xdr:cNvPr>
        <xdr:cNvSpPr/>
      </xdr:nvSpPr>
      <xdr:spPr>
        <a:xfrm>
          <a:off x="13275734" y="359832"/>
          <a:ext cx="1773765" cy="46566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Ingredients </a:t>
          </a:r>
        </a:p>
      </xdr:txBody>
    </xdr:sp>
    <xdr:clientData/>
  </xdr:twoCellAnchor>
  <xdr:twoCellAnchor>
    <xdr:from>
      <xdr:col>21</xdr:col>
      <xdr:colOff>632884</xdr:colOff>
      <xdr:row>0</xdr:row>
      <xdr:rowOff>370417</xdr:rowOff>
    </xdr:from>
    <xdr:to>
      <xdr:col>23</xdr:col>
      <xdr:colOff>476250</xdr:colOff>
      <xdr:row>1</xdr:row>
      <xdr:rowOff>421219</xdr:rowOff>
    </xdr:to>
    <xdr:sp macro="" textlink="">
      <xdr:nvSpPr>
        <xdr:cNvPr id="10" name="Rectangle : coins arrondis 9">
          <a:hlinkClick xmlns:r="http://schemas.openxmlformats.org/officeDocument/2006/relationships" r:id="rId27"/>
          <a:extLst>
            <a:ext uri="{FF2B5EF4-FFF2-40B4-BE49-F238E27FC236}">
              <a16:creationId xmlns:a16="http://schemas.microsoft.com/office/drawing/2014/main" id="{C34F1662-26E1-4528-A119-03EB1FB06080}"/>
            </a:ext>
          </a:extLst>
        </xdr:cNvPr>
        <xdr:cNvSpPr/>
      </xdr:nvSpPr>
      <xdr:spPr>
        <a:xfrm>
          <a:off x="15153217" y="370417"/>
          <a:ext cx="1504950" cy="44238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Convertor</a:t>
          </a:r>
        </a:p>
      </xdr:txBody>
    </xdr:sp>
    <xdr:clientData/>
  </xdr:twoCellAnchor>
  <xdr:twoCellAnchor>
    <xdr:from>
      <xdr:col>23</xdr:col>
      <xdr:colOff>605367</xdr:colOff>
      <xdr:row>0</xdr:row>
      <xdr:rowOff>381000</xdr:rowOff>
    </xdr:from>
    <xdr:to>
      <xdr:col>25</xdr:col>
      <xdr:colOff>681567</xdr:colOff>
      <xdr:row>1</xdr:row>
      <xdr:rowOff>414870</xdr:rowOff>
    </xdr:to>
    <xdr:sp macro="" textlink="">
      <xdr:nvSpPr>
        <xdr:cNvPr id="12" name="Rectangle : coins arrondis 11">
          <a:hlinkClick xmlns:r="http://schemas.openxmlformats.org/officeDocument/2006/relationships" r:id="rId28"/>
          <a:extLst>
            <a:ext uri="{FF2B5EF4-FFF2-40B4-BE49-F238E27FC236}">
              <a16:creationId xmlns:a16="http://schemas.microsoft.com/office/drawing/2014/main" id="{63281F15-3129-4349-BB3A-DBEC49FBCBCB}"/>
            </a:ext>
          </a:extLst>
        </xdr:cNvPr>
        <xdr:cNvSpPr/>
      </xdr:nvSpPr>
      <xdr:spPr>
        <a:xfrm>
          <a:off x="16787284" y="381000"/>
          <a:ext cx="1504950" cy="42545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Beer style</a:t>
          </a: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22</xdr:col>
      <xdr:colOff>19049</xdr:colOff>
      <xdr:row>13</xdr:row>
      <xdr:rowOff>82904</xdr:rowOff>
    </xdr:from>
    <xdr:to>
      <xdr:col>26</xdr:col>
      <xdr:colOff>461168</xdr:colOff>
      <xdr:row>22</xdr:row>
      <xdr:rowOff>87400</xdr:rowOff>
    </xdr:to>
    <xdr:graphicFrame macro="">
      <xdr:nvGraphicFramePr>
        <xdr:cNvPr id="2" name="Graphique 1">
          <a:extLst>
            <a:ext uri="{FF2B5EF4-FFF2-40B4-BE49-F238E27FC236}">
              <a16:creationId xmlns:a16="http://schemas.microsoft.com/office/drawing/2014/main" id="{0FF5A7F8-4C29-4D67-912C-71BA67E546A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21</xdr:col>
      <xdr:colOff>889000</xdr:colOff>
      <xdr:row>38</xdr:row>
      <xdr:rowOff>72761</xdr:rowOff>
    </xdr:from>
    <xdr:to>
      <xdr:col>27</xdr:col>
      <xdr:colOff>10583</xdr:colOff>
      <xdr:row>48</xdr:row>
      <xdr:rowOff>130042</xdr:rowOff>
    </xdr:to>
    <xdr:graphicFrame macro="">
      <xdr:nvGraphicFramePr>
        <xdr:cNvPr id="4" name="Graphique 3">
          <a:extLst>
            <a:ext uri="{FF2B5EF4-FFF2-40B4-BE49-F238E27FC236}">
              <a16:creationId xmlns:a16="http://schemas.microsoft.com/office/drawing/2014/main" id="{66E10D32-A052-4AD1-98C2-B21C19BAE1C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0</xdr:colOff>
      <xdr:row>0</xdr:row>
      <xdr:rowOff>335642</xdr:rowOff>
    </xdr:from>
    <xdr:to>
      <xdr:col>1</xdr:col>
      <xdr:colOff>179614</xdr:colOff>
      <xdr:row>2</xdr:row>
      <xdr:rowOff>7256</xdr:rowOff>
    </xdr:to>
    <xdr:pic>
      <xdr:nvPicPr>
        <xdr:cNvPr id="6" name="Graphique 5" descr="Bière contour">
          <a:extLst>
            <a:ext uri="{FF2B5EF4-FFF2-40B4-BE49-F238E27FC236}">
              <a16:creationId xmlns:a16="http://schemas.microsoft.com/office/drawing/2014/main" id="{76EE0A3A-902F-4382-802D-452FC02F9D75}"/>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0" y="335642"/>
          <a:ext cx="884464" cy="909864"/>
        </a:xfrm>
        <a:prstGeom prst="rect">
          <a:avLst/>
        </a:prstGeom>
      </xdr:spPr>
    </xdr:pic>
    <xdr:clientData/>
  </xdr:twoCellAnchor>
  <xdr:twoCellAnchor editAs="oneCell">
    <xdr:from>
      <xdr:col>0</xdr:col>
      <xdr:colOff>18143</xdr:colOff>
      <xdr:row>14</xdr:row>
      <xdr:rowOff>45357</xdr:rowOff>
    </xdr:from>
    <xdr:to>
      <xdr:col>1</xdr:col>
      <xdr:colOff>1</xdr:colOff>
      <xdr:row>17</xdr:row>
      <xdr:rowOff>108858</xdr:rowOff>
    </xdr:to>
    <xdr:pic>
      <xdr:nvPicPr>
        <xdr:cNvPr id="7" name="Graphique 6" descr="Cultures contour">
          <a:extLst>
            <a:ext uri="{FF2B5EF4-FFF2-40B4-BE49-F238E27FC236}">
              <a16:creationId xmlns:a16="http://schemas.microsoft.com/office/drawing/2014/main" id="{09184934-0660-4D5D-B3C0-7BCAF8586D5C}"/>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8143" y="3579132"/>
          <a:ext cx="686708" cy="692151"/>
        </a:xfrm>
        <a:prstGeom prst="rect">
          <a:avLst/>
        </a:prstGeom>
      </xdr:spPr>
    </xdr:pic>
    <xdr:clientData/>
  </xdr:twoCellAnchor>
  <xdr:twoCellAnchor editAs="oneCell">
    <xdr:from>
      <xdr:col>0</xdr:col>
      <xdr:colOff>1</xdr:colOff>
      <xdr:row>45</xdr:row>
      <xdr:rowOff>63500</xdr:rowOff>
    </xdr:from>
    <xdr:to>
      <xdr:col>1</xdr:col>
      <xdr:colOff>18145</xdr:colOff>
      <xdr:row>49</xdr:row>
      <xdr:rowOff>36287</xdr:rowOff>
    </xdr:to>
    <xdr:pic>
      <xdr:nvPicPr>
        <xdr:cNvPr id="8" name="Graphique 7" descr="Plante contour">
          <a:extLst>
            <a:ext uri="{FF2B5EF4-FFF2-40B4-BE49-F238E27FC236}">
              <a16:creationId xmlns:a16="http://schemas.microsoft.com/office/drawing/2014/main" id="{EEADEDA6-E27D-46BB-99DA-B0645B0BEF8D}"/>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1" y="9274175"/>
          <a:ext cx="722994" cy="744313"/>
        </a:xfrm>
        <a:prstGeom prst="rect">
          <a:avLst/>
        </a:prstGeom>
      </xdr:spPr>
    </xdr:pic>
    <xdr:clientData/>
  </xdr:twoCellAnchor>
  <xdr:twoCellAnchor editAs="oneCell">
    <xdr:from>
      <xdr:col>0</xdr:col>
      <xdr:colOff>89201</xdr:colOff>
      <xdr:row>58</xdr:row>
      <xdr:rowOff>2721</xdr:rowOff>
    </xdr:from>
    <xdr:to>
      <xdr:col>0</xdr:col>
      <xdr:colOff>653444</xdr:colOff>
      <xdr:row>60</xdr:row>
      <xdr:rowOff>181428</xdr:rowOff>
    </xdr:to>
    <xdr:pic>
      <xdr:nvPicPr>
        <xdr:cNvPr id="9" name="Graphique 8" descr="Microbe contour">
          <a:extLst>
            <a:ext uri="{FF2B5EF4-FFF2-40B4-BE49-F238E27FC236}">
              <a16:creationId xmlns:a16="http://schemas.microsoft.com/office/drawing/2014/main" id="{4AFAC947-32AC-42D7-BD12-79602A425296}"/>
            </a:ext>
          </a:extLst>
        </xdr:cNvPr>
        <xdr:cNvPicPr>
          <a:picLocks noChangeAspect="1"/>
        </xdr:cNvPicPr>
      </xdr:nvPicPr>
      <xdr:blipFill>
        <a:blip xmlns:r="http://schemas.openxmlformats.org/officeDocument/2006/relationships" r:embed="rId9">
          <a:extLst>
            <a:ext uri="{96DAC541-7B7A-43D3-8B79-37D633B846F1}">
              <asvg:svgBlip xmlns:asvg="http://schemas.microsoft.com/office/drawing/2016/SVG/main" r:embed="rId10"/>
            </a:ext>
          </a:extLst>
        </a:blip>
        <a:stretch>
          <a:fillRect/>
        </a:stretch>
      </xdr:blipFill>
      <xdr:spPr>
        <a:xfrm>
          <a:off x="89201" y="11442246"/>
          <a:ext cx="564243" cy="562882"/>
        </a:xfrm>
        <a:prstGeom prst="rect">
          <a:avLst/>
        </a:prstGeom>
      </xdr:spPr>
    </xdr:pic>
    <xdr:clientData/>
  </xdr:twoCellAnchor>
  <xdr:twoCellAnchor editAs="oneCell">
    <xdr:from>
      <xdr:col>9</xdr:col>
      <xdr:colOff>281214</xdr:colOff>
      <xdr:row>46</xdr:row>
      <xdr:rowOff>154214</xdr:rowOff>
    </xdr:from>
    <xdr:to>
      <xdr:col>10</xdr:col>
      <xdr:colOff>397329</xdr:colOff>
      <xdr:row>51</xdr:row>
      <xdr:rowOff>149377</xdr:rowOff>
    </xdr:to>
    <xdr:pic>
      <xdr:nvPicPr>
        <xdr:cNvPr id="10" name="Graphique 9" descr="Bulles contour">
          <a:extLst>
            <a:ext uri="{FF2B5EF4-FFF2-40B4-BE49-F238E27FC236}">
              <a16:creationId xmlns:a16="http://schemas.microsoft.com/office/drawing/2014/main" id="{1D31EF7E-91D0-41B2-BD1C-15B50F1969F4}"/>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a:xfrm>
          <a:off x="6139089" y="9002939"/>
          <a:ext cx="878115" cy="905329"/>
        </a:xfrm>
        <a:prstGeom prst="rect">
          <a:avLst/>
        </a:prstGeom>
      </xdr:spPr>
    </xdr:pic>
    <xdr:clientData/>
  </xdr:twoCellAnchor>
  <xdr:twoCellAnchor editAs="oneCell">
    <xdr:from>
      <xdr:col>0</xdr:col>
      <xdr:colOff>0</xdr:colOff>
      <xdr:row>30</xdr:row>
      <xdr:rowOff>61685</xdr:rowOff>
    </xdr:from>
    <xdr:to>
      <xdr:col>1</xdr:col>
      <xdr:colOff>1814</xdr:colOff>
      <xdr:row>33</xdr:row>
      <xdr:rowOff>176589</xdr:rowOff>
    </xdr:to>
    <xdr:pic>
      <xdr:nvPicPr>
        <xdr:cNvPr id="11" name="Graphique 10" descr="Homéopathie contour">
          <a:extLst>
            <a:ext uri="{FF2B5EF4-FFF2-40B4-BE49-F238E27FC236}">
              <a16:creationId xmlns:a16="http://schemas.microsoft.com/office/drawing/2014/main" id="{AC4B7BB7-7E37-487C-B9AE-754063A5E9E1}"/>
            </a:ext>
          </a:extLst>
        </xdr:cNvPr>
        <xdr:cNvPicPr>
          <a:picLocks noChangeAspect="1"/>
        </xdr:cNvPicPr>
      </xdr:nvPicPr>
      <xdr:blipFill>
        <a:blip xmlns:r="http://schemas.openxmlformats.org/officeDocument/2006/relationships" r:embed="rId13">
          <a:extLst>
            <a:ext uri="{96DAC541-7B7A-43D3-8B79-37D633B846F1}">
              <asvg:svgBlip xmlns:asvg="http://schemas.microsoft.com/office/drawing/2016/SVG/main" r:embed="rId14"/>
            </a:ext>
          </a:extLst>
        </a:blip>
        <a:stretch>
          <a:fillRect/>
        </a:stretch>
      </xdr:blipFill>
      <xdr:spPr>
        <a:xfrm>
          <a:off x="0" y="6586310"/>
          <a:ext cx="706664" cy="707571"/>
        </a:xfrm>
        <a:prstGeom prst="rect">
          <a:avLst/>
        </a:prstGeom>
      </xdr:spPr>
    </xdr:pic>
    <xdr:clientData/>
  </xdr:twoCellAnchor>
  <xdr:twoCellAnchor editAs="oneCell">
    <xdr:from>
      <xdr:col>9</xdr:col>
      <xdr:colOff>335642</xdr:colOff>
      <xdr:row>25</xdr:row>
      <xdr:rowOff>107042</xdr:rowOff>
    </xdr:from>
    <xdr:to>
      <xdr:col>10</xdr:col>
      <xdr:colOff>317500</xdr:colOff>
      <xdr:row>29</xdr:row>
      <xdr:rowOff>119137</xdr:rowOff>
    </xdr:to>
    <xdr:pic>
      <xdr:nvPicPr>
        <xdr:cNvPr id="12" name="Graphique 11" descr="Chaudron contour">
          <a:extLst>
            <a:ext uri="{FF2B5EF4-FFF2-40B4-BE49-F238E27FC236}">
              <a16:creationId xmlns:a16="http://schemas.microsoft.com/office/drawing/2014/main" id="{F8E4ED85-4783-4067-AB59-D9C63A5BBA8D}"/>
            </a:ext>
          </a:extLst>
        </xdr:cNvPr>
        <xdr:cNvPicPr>
          <a:picLocks noChangeAspect="1"/>
        </xdr:cNvPicPr>
      </xdr:nvPicPr>
      <xdr:blipFill>
        <a:blip xmlns:r="http://schemas.openxmlformats.org/officeDocument/2006/relationships" r:embed="rId15">
          <a:extLst>
            <a:ext uri="{96DAC541-7B7A-43D3-8B79-37D633B846F1}">
              <asvg:svgBlip xmlns:asvg="http://schemas.microsoft.com/office/drawing/2016/SVG/main" r:embed="rId16"/>
            </a:ext>
          </a:extLst>
        </a:blip>
        <a:stretch>
          <a:fillRect/>
        </a:stretch>
      </xdr:blipFill>
      <xdr:spPr>
        <a:xfrm>
          <a:off x="6193517" y="5326742"/>
          <a:ext cx="743858" cy="778328"/>
        </a:xfrm>
        <a:prstGeom prst="rect">
          <a:avLst/>
        </a:prstGeom>
      </xdr:spPr>
    </xdr:pic>
    <xdr:clientData/>
  </xdr:twoCellAnchor>
  <xdr:twoCellAnchor editAs="oneCell">
    <xdr:from>
      <xdr:col>9</xdr:col>
      <xdr:colOff>132499</xdr:colOff>
      <xdr:row>5</xdr:row>
      <xdr:rowOff>136072</xdr:rowOff>
    </xdr:from>
    <xdr:to>
      <xdr:col>9</xdr:col>
      <xdr:colOff>760752</xdr:colOff>
      <xdr:row>8</xdr:row>
      <xdr:rowOff>212328</xdr:rowOff>
    </xdr:to>
    <xdr:pic>
      <xdr:nvPicPr>
        <xdr:cNvPr id="13" name="Graphique 12" descr="Homme agriculteur contour">
          <a:extLst>
            <a:ext uri="{FF2B5EF4-FFF2-40B4-BE49-F238E27FC236}">
              <a16:creationId xmlns:a16="http://schemas.microsoft.com/office/drawing/2014/main" id="{26E65D88-4EE9-4046-9ADD-D300D76A1621}"/>
            </a:ext>
          </a:extLst>
        </xdr:cNvPr>
        <xdr:cNvPicPr>
          <a:picLocks noChangeAspect="1"/>
        </xdr:cNvPicPr>
      </xdr:nvPicPr>
      <xdr:blipFill>
        <a:blip xmlns:r="http://schemas.openxmlformats.org/officeDocument/2006/relationships" r:embed="rId17">
          <a:extLst>
            <a:ext uri="{96DAC541-7B7A-43D3-8B79-37D633B846F1}">
              <asvg:svgBlip xmlns:asvg="http://schemas.microsoft.com/office/drawing/2016/SVG/main" r:embed="rId18"/>
            </a:ext>
          </a:extLst>
        </a:blip>
        <a:stretch>
          <a:fillRect/>
        </a:stretch>
      </xdr:blipFill>
      <xdr:spPr>
        <a:xfrm>
          <a:off x="5990374" y="1917247"/>
          <a:ext cx="628253" cy="657281"/>
        </a:xfrm>
        <a:prstGeom prst="rect">
          <a:avLst/>
        </a:prstGeom>
      </xdr:spPr>
    </xdr:pic>
    <xdr:clientData/>
  </xdr:twoCellAnchor>
  <xdr:twoCellAnchor editAs="oneCell">
    <xdr:from>
      <xdr:col>10</xdr:col>
      <xdr:colOff>37572</xdr:colOff>
      <xdr:row>6</xdr:row>
      <xdr:rowOff>136071</xdr:rowOff>
    </xdr:from>
    <xdr:to>
      <xdr:col>10</xdr:col>
      <xdr:colOff>454328</xdr:colOff>
      <xdr:row>8</xdr:row>
      <xdr:rowOff>153684</xdr:rowOff>
    </xdr:to>
    <xdr:pic>
      <xdr:nvPicPr>
        <xdr:cNvPr id="14" name="Graphique 13" descr="Feu contour">
          <a:extLst>
            <a:ext uri="{FF2B5EF4-FFF2-40B4-BE49-F238E27FC236}">
              <a16:creationId xmlns:a16="http://schemas.microsoft.com/office/drawing/2014/main" id="{65927E4F-1F16-4CAA-9583-4E942B53D99B}"/>
            </a:ext>
          </a:extLst>
        </xdr:cNvPr>
        <xdr:cNvPicPr>
          <a:picLocks noChangeAspect="1"/>
        </xdr:cNvPicPr>
      </xdr:nvPicPr>
      <xdr:blipFill>
        <a:blip xmlns:r="http://schemas.openxmlformats.org/officeDocument/2006/relationships" r:embed="rId19">
          <a:extLst>
            <a:ext uri="{96DAC541-7B7A-43D3-8B79-37D633B846F1}">
              <asvg:svgBlip xmlns:asvg="http://schemas.microsoft.com/office/drawing/2016/SVG/main" r:embed="rId20"/>
            </a:ext>
          </a:extLst>
        </a:blip>
        <a:stretch>
          <a:fillRect/>
        </a:stretch>
      </xdr:blipFill>
      <xdr:spPr>
        <a:xfrm>
          <a:off x="6657447" y="2098221"/>
          <a:ext cx="416756" cy="417663"/>
        </a:xfrm>
        <a:prstGeom prst="rect">
          <a:avLst/>
        </a:prstGeom>
      </xdr:spPr>
    </xdr:pic>
    <xdr:clientData/>
  </xdr:twoCellAnchor>
  <xdr:twoCellAnchor editAs="oneCell">
    <xdr:from>
      <xdr:col>9</xdr:col>
      <xdr:colOff>27214</xdr:colOff>
      <xdr:row>59</xdr:row>
      <xdr:rowOff>99787</xdr:rowOff>
    </xdr:from>
    <xdr:to>
      <xdr:col>10</xdr:col>
      <xdr:colOff>143329</xdr:colOff>
      <xdr:row>63</xdr:row>
      <xdr:rowOff>181127</xdr:rowOff>
    </xdr:to>
    <xdr:pic>
      <xdr:nvPicPr>
        <xdr:cNvPr id="15" name="Graphique 14" descr="Bouteille contour">
          <a:extLst>
            <a:ext uri="{FF2B5EF4-FFF2-40B4-BE49-F238E27FC236}">
              <a16:creationId xmlns:a16="http://schemas.microsoft.com/office/drawing/2014/main" id="{58CB35D8-1A62-45DE-B76F-10BF53FE0B44}"/>
            </a:ext>
          </a:extLst>
        </xdr:cNvPr>
        <xdr:cNvPicPr>
          <a:picLocks noChangeAspect="1"/>
        </xdr:cNvPicPr>
      </xdr:nvPicPr>
      <xdr:blipFill>
        <a:blip xmlns:r="http://schemas.openxmlformats.org/officeDocument/2006/relationships" r:embed="rId21">
          <a:extLst>
            <a:ext uri="{96DAC541-7B7A-43D3-8B79-37D633B846F1}">
              <asvg:svgBlip xmlns:asvg="http://schemas.microsoft.com/office/drawing/2016/SVG/main" r:embed="rId22"/>
            </a:ext>
          </a:extLst>
        </a:blip>
        <a:stretch>
          <a:fillRect/>
        </a:stretch>
      </xdr:blipFill>
      <xdr:spPr>
        <a:xfrm>
          <a:off x="5885089" y="11177362"/>
          <a:ext cx="878115" cy="912131"/>
        </a:xfrm>
        <a:prstGeom prst="rect">
          <a:avLst/>
        </a:prstGeom>
      </xdr:spPr>
    </xdr:pic>
    <xdr:clientData/>
  </xdr:twoCellAnchor>
  <xdr:twoCellAnchor editAs="oneCell">
    <xdr:from>
      <xdr:col>9</xdr:col>
      <xdr:colOff>351971</xdr:colOff>
      <xdr:row>59</xdr:row>
      <xdr:rowOff>97973</xdr:rowOff>
    </xdr:from>
    <xdr:to>
      <xdr:col>10</xdr:col>
      <xdr:colOff>468086</xdr:colOff>
      <xdr:row>63</xdr:row>
      <xdr:rowOff>179313</xdr:rowOff>
    </xdr:to>
    <xdr:pic>
      <xdr:nvPicPr>
        <xdr:cNvPr id="16" name="Graphique 15" descr="Bouteille contour">
          <a:extLst>
            <a:ext uri="{FF2B5EF4-FFF2-40B4-BE49-F238E27FC236}">
              <a16:creationId xmlns:a16="http://schemas.microsoft.com/office/drawing/2014/main" id="{B94DEC9D-30A7-417B-9E9B-89E71427A883}"/>
            </a:ext>
          </a:extLst>
        </xdr:cNvPr>
        <xdr:cNvPicPr>
          <a:picLocks noChangeAspect="1"/>
        </xdr:cNvPicPr>
      </xdr:nvPicPr>
      <xdr:blipFill>
        <a:blip xmlns:r="http://schemas.openxmlformats.org/officeDocument/2006/relationships" r:embed="rId21">
          <a:extLst>
            <a:ext uri="{96DAC541-7B7A-43D3-8B79-37D633B846F1}">
              <asvg:svgBlip xmlns:asvg="http://schemas.microsoft.com/office/drawing/2016/SVG/main" r:embed="rId22"/>
            </a:ext>
          </a:extLst>
        </a:blip>
        <a:stretch>
          <a:fillRect/>
        </a:stretch>
      </xdr:blipFill>
      <xdr:spPr>
        <a:xfrm>
          <a:off x="6209846" y="11175548"/>
          <a:ext cx="878115" cy="912131"/>
        </a:xfrm>
        <a:prstGeom prst="rect">
          <a:avLst/>
        </a:prstGeom>
      </xdr:spPr>
    </xdr:pic>
    <xdr:clientData/>
  </xdr:twoCellAnchor>
  <xdr:twoCellAnchor>
    <xdr:from>
      <xdr:col>16</xdr:col>
      <xdr:colOff>550333</xdr:colOff>
      <xdr:row>0</xdr:row>
      <xdr:rowOff>74084</xdr:rowOff>
    </xdr:from>
    <xdr:to>
      <xdr:col>19</xdr:col>
      <xdr:colOff>328081</xdr:colOff>
      <xdr:row>1</xdr:row>
      <xdr:rowOff>656167</xdr:rowOff>
    </xdr:to>
    <xdr:sp macro="" textlink="">
      <xdr:nvSpPr>
        <xdr:cNvPr id="3" name="Rectangle : coins arrondis 2">
          <a:hlinkClick xmlns:r="http://schemas.openxmlformats.org/officeDocument/2006/relationships" r:id="rId23"/>
          <a:extLst>
            <a:ext uri="{FF2B5EF4-FFF2-40B4-BE49-F238E27FC236}">
              <a16:creationId xmlns:a16="http://schemas.microsoft.com/office/drawing/2014/main" id="{9ED55E92-C6E6-44B5-9766-81D60C975052}"/>
            </a:ext>
          </a:extLst>
        </xdr:cNvPr>
        <xdr:cNvSpPr/>
      </xdr:nvSpPr>
      <xdr:spPr>
        <a:xfrm>
          <a:off x="11387666" y="74084"/>
          <a:ext cx="1756832" cy="97366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solidFill>
                <a:schemeClr val="lt1"/>
              </a:solidFill>
              <a:effectLst/>
              <a:latin typeface="+mn-lt"/>
              <a:ea typeface="+mn-ea"/>
              <a:cs typeface="+mn-cs"/>
            </a:rPr>
            <a:t>🏠</a:t>
          </a:r>
          <a:r>
            <a:rPr lang="fr-FR" sz="2400"/>
            <a:t>Back to </a:t>
          </a:r>
        </a:p>
        <a:p>
          <a:pPr algn="ctr"/>
          <a:r>
            <a:rPr lang="fr-FR" sz="2400"/>
            <a:t>all recipes  </a:t>
          </a:r>
        </a:p>
      </xdr:txBody>
    </xdr:sp>
    <xdr:clientData/>
  </xdr:twoCellAnchor>
  <xdr:twoCellAnchor>
    <xdr:from>
      <xdr:col>19</xdr:col>
      <xdr:colOff>416982</xdr:colOff>
      <xdr:row>0</xdr:row>
      <xdr:rowOff>306915</xdr:rowOff>
    </xdr:from>
    <xdr:to>
      <xdr:col>21</xdr:col>
      <xdr:colOff>486831</xdr:colOff>
      <xdr:row>1</xdr:row>
      <xdr:rowOff>380999</xdr:rowOff>
    </xdr:to>
    <xdr:sp macro="" textlink="">
      <xdr:nvSpPr>
        <xdr:cNvPr id="5" name="Rectangle : coins arrondis 4">
          <a:hlinkClick xmlns:r="http://schemas.openxmlformats.org/officeDocument/2006/relationships" r:id="rId24"/>
          <a:extLst>
            <a:ext uri="{FF2B5EF4-FFF2-40B4-BE49-F238E27FC236}">
              <a16:creationId xmlns:a16="http://schemas.microsoft.com/office/drawing/2014/main" id="{1EF48524-686E-4DB0-888C-428248777104}"/>
            </a:ext>
          </a:extLst>
        </xdr:cNvPr>
        <xdr:cNvSpPr/>
      </xdr:nvSpPr>
      <xdr:spPr>
        <a:xfrm>
          <a:off x="13233399" y="306915"/>
          <a:ext cx="1773765" cy="46566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Ingredients </a:t>
          </a:r>
        </a:p>
      </xdr:txBody>
    </xdr:sp>
    <xdr:clientData/>
  </xdr:twoCellAnchor>
  <xdr:twoCellAnchor>
    <xdr:from>
      <xdr:col>21</xdr:col>
      <xdr:colOff>590549</xdr:colOff>
      <xdr:row>0</xdr:row>
      <xdr:rowOff>317500</xdr:rowOff>
    </xdr:from>
    <xdr:to>
      <xdr:col>23</xdr:col>
      <xdr:colOff>433915</xdr:colOff>
      <xdr:row>1</xdr:row>
      <xdr:rowOff>368302</xdr:rowOff>
    </xdr:to>
    <xdr:sp macro="" textlink="">
      <xdr:nvSpPr>
        <xdr:cNvPr id="17" name="Rectangle : coins arrondis 16">
          <a:hlinkClick xmlns:r="http://schemas.openxmlformats.org/officeDocument/2006/relationships" r:id="rId25"/>
          <a:extLst>
            <a:ext uri="{FF2B5EF4-FFF2-40B4-BE49-F238E27FC236}">
              <a16:creationId xmlns:a16="http://schemas.microsoft.com/office/drawing/2014/main" id="{62E4562A-1598-41AC-A00D-7619EAB5E9E7}"/>
            </a:ext>
          </a:extLst>
        </xdr:cNvPr>
        <xdr:cNvSpPr/>
      </xdr:nvSpPr>
      <xdr:spPr>
        <a:xfrm>
          <a:off x="15110882" y="317500"/>
          <a:ext cx="1504950" cy="44238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Convertor</a:t>
          </a:r>
        </a:p>
      </xdr:txBody>
    </xdr:sp>
    <xdr:clientData/>
  </xdr:twoCellAnchor>
  <xdr:twoCellAnchor>
    <xdr:from>
      <xdr:col>23</xdr:col>
      <xdr:colOff>563032</xdr:colOff>
      <xdr:row>0</xdr:row>
      <xdr:rowOff>328083</xdr:rowOff>
    </xdr:from>
    <xdr:to>
      <xdr:col>25</xdr:col>
      <xdr:colOff>639232</xdr:colOff>
      <xdr:row>1</xdr:row>
      <xdr:rowOff>361953</xdr:rowOff>
    </xdr:to>
    <xdr:sp macro="" textlink="">
      <xdr:nvSpPr>
        <xdr:cNvPr id="18" name="Rectangle : coins arrondis 17">
          <a:hlinkClick xmlns:r="http://schemas.openxmlformats.org/officeDocument/2006/relationships" r:id="rId26"/>
          <a:extLst>
            <a:ext uri="{FF2B5EF4-FFF2-40B4-BE49-F238E27FC236}">
              <a16:creationId xmlns:a16="http://schemas.microsoft.com/office/drawing/2014/main" id="{0756D9E2-05A9-4872-A71B-E5377F321305}"/>
            </a:ext>
          </a:extLst>
        </xdr:cNvPr>
        <xdr:cNvSpPr/>
      </xdr:nvSpPr>
      <xdr:spPr>
        <a:xfrm>
          <a:off x="16744949" y="328083"/>
          <a:ext cx="1504950" cy="42545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Beer style</a:t>
          </a: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22</xdr:col>
      <xdr:colOff>19049</xdr:colOff>
      <xdr:row>13</xdr:row>
      <xdr:rowOff>82904</xdr:rowOff>
    </xdr:from>
    <xdr:to>
      <xdr:col>26</xdr:col>
      <xdr:colOff>461168</xdr:colOff>
      <xdr:row>22</xdr:row>
      <xdr:rowOff>87400</xdr:rowOff>
    </xdr:to>
    <xdr:graphicFrame macro="">
      <xdr:nvGraphicFramePr>
        <xdr:cNvPr id="2" name="Graphique 1">
          <a:extLst>
            <a:ext uri="{FF2B5EF4-FFF2-40B4-BE49-F238E27FC236}">
              <a16:creationId xmlns:a16="http://schemas.microsoft.com/office/drawing/2014/main" id="{C94A3404-DCE0-4861-95D6-228DDC68C26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21</xdr:col>
      <xdr:colOff>889000</xdr:colOff>
      <xdr:row>38</xdr:row>
      <xdr:rowOff>72761</xdr:rowOff>
    </xdr:from>
    <xdr:to>
      <xdr:col>27</xdr:col>
      <xdr:colOff>10583</xdr:colOff>
      <xdr:row>48</xdr:row>
      <xdr:rowOff>130042</xdr:rowOff>
    </xdr:to>
    <xdr:graphicFrame macro="">
      <xdr:nvGraphicFramePr>
        <xdr:cNvPr id="3" name="Graphique 2">
          <a:extLst>
            <a:ext uri="{FF2B5EF4-FFF2-40B4-BE49-F238E27FC236}">
              <a16:creationId xmlns:a16="http://schemas.microsoft.com/office/drawing/2014/main" id="{D51955B1-3410-4BBD-866F-CD23065E86A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0</xdr:colOff>
      <xdr:row>0</xdr:row>
      <xdr:rowOff>335642</xdr:rowOff>
    </xdr:from>
    <xdr:to>
      <xdr:col>1</xdr:col>
      <xdr:colOff>179614</xdr:colOff>
      <xdr:row>2</xdr:row>
      <xdr:rowOff>7256</xdr:rowOff>
    </xdr:to>
    <xdr:pic>
      <xdr:nvPicPr>
        <xdr:cNvPr id="4" name="Graphique 3" descr="Bière contour">
          <a:extLst>
            <a:ext uri="{FF2B5EF4-FFF2-40B4-BE49-F238E27FC236}">
              <a16:creationId xmlns:a16="http://schemas.microsoft.com/office/drawing/2014/main" id="{1F76CB11-57FD-4255-B629-BC04201D763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0" y="335642"/>
          <a:ext cx="884464" cy="909864"/>
        </a:xfrm>
        <a:prstGeom prst="rect">
          <a:avLst/>
        </a:prstGeom>
      </xdr:spPr>
    </xdr:pic>
    <xdr:clientData/>
  </xdr:twoCellAnchor>
  <xdr:twoCellAnchor editAs="oneCell">
    <xdr:from>
      <xdr:col>0</xdr:col>
      <xdr:colOff>18143</xdr:colOff>
      <xdr:row>14</xdr:row>
      <xdr:rowOff>45357</xdr:rowOff>
    </xdr:from>
    <xdr:to>
      <xdr:col>1</xdr:col>
      <xdr:colOff>1</xdr:colOff>
      <xdr:row>17</xdr:row>
      <xdr:rowOff>108858</xdr:rowOff>
    </xdr:to>
    <xdr:pic>
      <xdr:nvPicPr>
        <xdr:cNvPr id="5" name="Graphique 4" descr="Cultures contour">
          <a:extLst>
            <a:ext uri="{FF2B5EF4-FFF2-40B4-BE49-F238E27FC236}">
              <a16:creationId xmlns:a16="http://schemas.microsoft.com/office/drawing/2014/main" id="{58A3A5F9-201D-4A7B-B467-CB4C8AE14BAA}"/>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8143" y="3579132"/>
          <a:ext cx="686708" cy="692151"/>
        </a:xfrm>
        <a:prstGeom prst="rect">
          <a:avLst/>
        </a:prstGeom>
      </xdr:spPr>
    </xdr:pic>
    <xdr:clientData/>
  </xdr:twoCellAnchor>
  <xdr:twoCellAnchor editAs="oneCell">
    <xdr:from>
      <xdr:col>0</xdr:col>
      <xdr:colOff>1</xdr:colOff>
      <xdr:row>43</xdr:row>
      <xdr:rowOff>63500</xdr:rowOff>
    </xdr:from>
    <xdr:to>
      <xdr:col>1</xdr:col>
      <xdr:colOff>18145</xdr:colOff>
      <xdr:row>47</xdr:row>
      <xdr:rowOff>36288</xdr:rowOff>
    </xdr:to>
    <xdr:pic>
      <xdr:nvPicPr>
        <xdr:cNvPr id="6" name="Graphique 5" descr="Plante contour">
          <a:extLst>
            <a:ext uri="{FF2B5EF4-FFF2-40B4-BE49-F238E27FC236}">
              <a16:creationId xmlns:a16="http://schemas.microsoft.com/office/drawing/2014/main" id="{76FA2390-EB52-4655-BB50-7C5A8AF49160}"/>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1" y="9274175"/>
          <a:ext cx="722994" cy="744313"/>
        </a:xfrm>
        <a:prstGeom prst="rect">
          <a:avLst/>
        </a:prstGeom>
      </xdr:spPr>
    </xdr:pic>
    <xdr:clientData/>
  </xdr:twoCellAnchor>
  <xdr:twoCellAnchor editAs="oneCell">
    <xdr:from>
      <xdr:col>0</xdr:col>
      <xdr:colOff>89201</xdr:colOff>
      <xdr:row>55</xdr:row>
      <xdr:rowOff>2721</xdr:rowOff>
    </xdr:from>
    <xdr:to>
      <xdr:col>0</xdr:col>
      <xdr:colOff>653444</xdr:colOff>
      <xdr:row>58</xdr:row>
      <xdr:rowOff>22678</xdr:rowOff>
    </xdr:to>
    <xdr:pic>
      <xdr:nvPicPr>
        <xdr:cNvPr id="7" name="Graphique 6" descr="Microbe contour">
          <a:extLst>
            <a:ext uri="{FF2B5EF4-FFF2-40B4-BE49-F238E27FC236}">
              <a16:creationId xmlns:a16="http://schemas.microsoft.com/office/drawing/2014/main" id="{88A29C97-ED4B-4104-8079-FA1C4637C2DF}"/>
            </a:ext>
          </a:extLst>
        </xdr:cNvPr>
        <xdr:cNvPicPr>
          <a:picLocks noChangeAspect="1"/>
        </xdr:cNvPicPr>
      </xdr:nvPicPr>
      <xdr:blipFill>
        <a:blip xmlns:r="http://schemas.openxmlformats.org/officeDocument/2006/relationships" r:embed="rId9">
          <a:extLst>
            <a:ext uri="{96DAC541-7B7A-43D3-8B79-37D633B846F1}">
              <asvg:svgBlip xmlns:asvg="http://schemas.microsoft.com/office/drawing/2016/SVG/main" r:embed="rId10"/>
            </a:ext>
          </a:extLst>
        </a:blip>
        <a:stretch>
          <a:fillRect/>
        </a:stretch>
      </xdr:blipFill>
      <xdr:spPr>
        <a:xfrm>
          <a:off x="89201" y="11442246"/>
          <a:ext cx="564243" cy="562882"/>
        </a:xfrm>
        <a:prstGeom prst="rect">
          <a:avLst/>
        </a:prstGeom>
      </xdr:spPr>
    </xdr:pic>
    <xdr:clientData/>
  </xdr:twoCellAnchor>
  <xdr:twoCellAnchor editAs="oneCell">
    <xdr:from>
      <xdr:col>9</xdr:col>
      <xdr:colOff>281214</xdr:colOff>
      <xdr:row>41</xdr:row>
      <xdr:rowOff>154214</xdr:rowOff>
    </xdr:from>
    <xdr:to>
      <xdr:col>10</xdr:col>
      <xdr:colOff>397329</xdr:colOff>
      <xdr:row>46</xdr:row>
      <xdr:rowOff>107043</xdr:rowOff>
    </xdr:to>
    <xdr:pic>
      <xdr:nvPicPr>
        <xdr:cNvPr id="8" name="Graphique 7" descr="Bulles contour">
          <a:extLst>
            <a:ext uri="{FF2B5EF4-FFF2-40B4-BE49-F238E27FC236}">
              <a16:creationId xmlns:a16="http://schemas.microsoft.com/office/drawing/2014/main" id="{7BF946AD-1C86-4F70-AE0F-4556BA8F218F}"/>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a:xfrm>
          <a:off x="6139089" y="9002939"/>
          <a:ext cx="878115" cy="905329"/>
        </a:xfrm>
        <a:prstGeom prst="rect">
          <a:avLst/>
        </a:prstGeom>
      </xdr:spPr>
    </xdr:pic>
    <xdr:clientData/>
  </xdr:twoCellAnchor>
  <xdr:twoCellAnchor editAs="oneCell">
    <xdr:from>
      <xdr:col>0</xdr:col>
      <xdr:colOff>0</xdr:colOff>
      <xdr:row>29</xdr:row>
      <xdr:rowOff>61685</xdr:rowOff>
    </xdr:from>
    <xdr:to>
      <xdr:col>1</xdr:col>
      <xdr:colOff>1814</xdr:colOff>
      <xdr:row>32</xdr:row>
      <xdr:rowOff>197756</xdr:rowOff>
    </xdr:to>
    <xdr:pic>
      <xdr:nvPicPr>
        <xdr:cNvPr id="9" name="Graphique 8" descr="Homéopathie contour">
          <a:extLst>
            <a:ext uri="{FF2B5EF4-FFF2-40B4-BE49-F238E27FC236}">
              <a16:creationId xmlns:a16="http://schemas.microsoft.com/office/drawing/2014/main" id="{2D065DA3-8DC9-4D46-8035-E73EA081ACFA}"/>
            </a:ext>
          </a:extLst>
        </xdr:cNvPr>
        <xdr:cNvPicPr>
          <a:picLocks noChangeAspect="1"/>
        </xdr:cNvPicPr>
      </xdr:nvPicPr>
      <xdr:blipFill>
        <a:blip xmlns:r="http://schemas.openxmlformats.org/officeDocument/2006/relationships" r:embed="rId13">
          <a:extLst>
            <a:ext uri="{96DAC541-7B7A-43D3-8B79-37D633B846F1}">
              <asvg:svgBlip xmlns:asvg="http://schemas.microsoft.com/office/drawing/2016/SVG/main" r:embed="rId14"/>
            </a:ext>
          </a:extLst>
        </a:blip>
        <a:stretch>
          <a:fillRect/>
        </a:stretch>
      </xdr:blipFill>
      <xdr:spPr>
        <a:xfrm>
          <a:off x="0" y="6586310"/>
          <a:ext cx="706664" cy="707571"/>
        </a:xfrm>
        <a:prstGeom prst="rect">
          <a:avLst/>
        </a:prstGeom>
      </xdr:spPr>
    </xdr:pic>
    <xdr:clientData/>
  </xdr:twoCellAnchor>
  <xdr:twoCellAnchor editAs="oneCell">
    <xdr:from>
      <xdr:col>9</xdr:col>
      <xdr:colOff>335642</xdr:colOff>
      <xdr:row>22</xdr:row>
      <xdr:rowOff>107042</xdr:rowOff>
    </xdr:from>
    <xdr:to>
      <xdr:col>10</xdr:col>
      <xdr:colOff>317500</xdr:colOff>
      <xdr:row>26</xdr:row>
      <xdr:rowOff>161470</xdr:rowOff>
    </xdr:to>
    <xdr:pic>
      <xdr:nvPicPr>
        <xdr:cNvPr id="10" name="Graphique 9" descr="Chaudron contour">
          <a:extLst>
            <a:ext uri="{FF2B5EF4-FFF2-40B4-BE49-F238E27FC236}">
              <a16:creationId xmlns:a16="http://schemas.microsoft.com/office/drawing/2014/main" id="{E441E601-12CF-4825-9041-4479A9206CB5}"/>
            </a:ext>
          </a:extLst>
        </xdr:cNvPr>
        <xdr:cNvPicPr>
          <a:picLocks noChangeAspect="1"/>
        </xdr:cNvPicPr>
      </xdr:nvPicPr>
      <xdr:blipFill>
        <a:blip xmlns:r="http://schemas.openxmlformats.org/officeDocument/2006/relationships" r:embed="rId15">
          <a:extLst>
            <a:ext uri="{96DAC541-7B7A-43D3-8B79-37D633B846F1}">
              <asvg:svgBlip xmlns:asvg="http://schemas.microsoft.com/office/drawing/2016/SVG/main" r:embed="rId16"/>
            </a:ext>
          </a:extLst>
        </a:blip>
        <a:stretch>
          <a:fillRect/>
        </a:stretch>
      </xdr:blipFill>
      <xdr:spPr>
        <a:xfrm>
          <a:off x="6193517" y="5326742"/>
          <a:ext cx="743858" cy="778328"/>
        </a:xfrm>
        <a:prstGeom prst="rect">
          <a:avLst/>
        </a:prstGeom>
      </xdr:spPr>
    </xdr:pic>
    <xdr:clientData/>
  </xdr:twoCellAnchor>
  <xdr:twoCellAnchor editAs="oneCell">
    <xdr:from>
      <xdr:col>9</xdr:col>
      <xdr:colOff>132499</xdr:colOff>
      <xdr:row>5</xdr:row>
      <xdr:rowOff>136072</xdr:rowOff>
    </xdr:from>
    <xdr:to>
      <xdr:col>9</xdr:col>
      <xdr:colOff>760752</xdr:colOff>
      <xdr:row>8</xdr:row>
      <xdr:rowOff>212328</xdr:rowOff>
    </xdr:to>
    <xdr:pic>
      <xdr:nvPicPr>
        <xdr:cNvPr id="11" name="Graphique 10" descr="Homme agriculteur contour">
          <a:extLst>
            <a:ext uri="{FF2B5EF4-FFF2-40B4-BE49-F238E27FC236}">
              <a16:creationId xmlns:a16="http://schemas.microsoft.com/office/drawing/2014/main" id="{E7CB4A5E-F4D3-468A-8FFA-6F37B6B09B32}"/>
            </a:ext>
          </a:extLst>
        </xdr:cNvPr>
        <xdr:cNvPicPr>
          <a:picLocks noChangeAspect="1"/>
        </xdr:cNvPicPr>
      </xdr:nvPicPr>
      <xdr:blipFill>
        <a:blip xmlns:r="http://schemas.openxmlformats.org/officeDocument/2006/relationships" r:embed="rId17">
          <a:extLst>
            <a:ext uri="{96DAC541-7B7A-43D3-8B79-37D633B846F1}">
              <asvg:svgBlip xmlns:asvg="http://schemas.microsoft.com/office/drawing/2016/SVG/main" r:embed="rId18"/>
            </a:ext>
          </a:extLst>
        </a:blip>
        <a:stretch>
          <a:fillRect/>
        </a:stretch>
      </xdr:blipFill>
      <xdr:spPr>
        <a:xfrm>
          <a:off x="5990374" y="1917247"/>
          <a:ext cx="628253" cy="657281"/>
        </a:xfrm>
        <a:prstGeom prst="rect">
          <a:avLst/>
        </a:prstGeom>
      </xdr:spPr>
    </xdr:pic>
    <xdr:clientData/>
  </xdr:twoCellAnchor>
  <xdr:twoCellAnchor editAs="oneCell">
    <xdr:from>
      <xdr:col>10</xdr:col>
      <xdr:colOff>37572</xdr:colOff>
      <xdr:row>6</xdr:row>
      <xdr:rowOff>136071</xdr:rowOff>
    </xdr:from>
    <xdr:to>
      <xdr:col>10</xdr:col>
      <xdr:colOff>454328</xdr:colOff>
      <xdr:row>8</xdr:row>
      <xdr:rowOff>153684</xdr:rowOff>
    </xdr:to>
    <xdr:pic>
      <xdr:nvPicPr>
        <xdr:cNvPr id="12" name="Graphique 11" descr="Feu contour">
          <a:extLst>
            <a:ext uri="{FF2B5EF4-FFF2-40B4-BE49-F238E27FC236}">
              <a16:creationId xmlns:a16="http://schemas.microsoft.com/office/drawing/2014/main" id="{75EFC9BA-E063-4591-AAD9-BC102DE6CCDF}"/>
            </a:ext>
          </a:extLst>
        </xdr:cNvPr>
        <xdr:cNvPicPr>
          <a:picLocks noChangeAspect="1"/>
        </xdr:cNvPicPr>
      </xdr:nvPicPr>
      <xdr:blipFill>
        <a:blip xmlns:r="http://schemas.openxmlformats.org/officeDocument/2006/relationships" r:embed="rId19">
          <a:extLst>
            <a:ext uri="{96DAC541-7B7A-43D3-8B79-37D633B846F1}">
              <asvg:svgBlip xmlns:asvg="http://schemas.microsoft.com/office/drawing/2016/SVG/main" r:embed="rId20"/>
            </a:ext>
          </a:extLst>
        </a:blip>
        <a:stretch>
          <a:fillRect/>
        </a:stretch>
      </xdr:blipFill>
      <xdr:spPr>
        <a:xfrm>
          <a:off x="6657447" y="2098221"/>
          <a:ext cx="416756" cy="417663"/>
        </a:xfrm>
        <a:prstGeom prst="rect">
          <a:avLst/>
        </a:prstGeom>
      </xdr:spPr>
    </xdr:pic>
    <xdr:clientData/>
  </xdr:twoCellAnchor>
  <xdr:twoCellAnchor editAs="oneCell">
    <xdr:from>
      <xdr:col>9</xdr:col>
      <xdr:colOff>27214</xdr:colOff>
      <xdr:row>53</xdr:row>
      <xdr:rowOff>99787</xdr:rowOff>
    </xdr:from>
    <xdr:to>
      <xdr:col>10</xdr:col>
      <xdr:colOff>143329</xdr:colOff>
      <xdr:row>58</xdr:row>
      <xdr:rowOff>107043</xdr:rowOff>
    </xdr:to>
    <xdr:pic>
      <xdr:nvPicPr>
        <xdr:cNvPr id="13" name="Graphique 12" descr="Bouteille contour">
          <a:extLst>
            <a:ext uri="{FF2B5EF4-FFF2-40B4-BE49-F238E27FC236}">
              <a16:creationId xmlns:a16="http://schemas.microsoft.com/office/drawing/2014/main" id="{69C84524-1AA5-4752-BAF6-2AFB99122359}"/>
            </a:ext>
          </a:extLst>
        </xdr:cNvPr>
        <xdr:cNvPicPr>
          <a:picLocks noChangeAspect="1"/>
        </xdr:cNvPicPr>
      </xdr:nvPicPr>
      <xdr:blipFill>
        <a:blip xmlns:r="http://schemas.openxmlformats.org/officeDocument/2006/relationships" r:embed="rId21">
          <a:extLst>
            <a:ext uri="{96DAC541-7B7A-43D3-8B79-37D633B846F1}">
              <asvg:svgBlip xmlns:asvg="http://schemas.microsoft.com/office/drawing/2016/SVG/main" r:embed="rId22"/>
            </a:ext>
          </a:extLst>
        </a:blip>
        <a:stretch>
          <a:fillRect/>
        </a:stretch>
      </xdr:blipFill>
      <xdr:spPr>
        <a:xfrm>
          <a:off x="5885089" y="11177362"/>
          <a:ext cx="878115" cy="912131"/>
        </a:xfrm>
        <a:prstGeom prst="rect">
          <a:avLst/>
        </a:prstGeom>
      </xdr:spPr>
    </xdr:pic>
    <xdr:clientData/>
  </xdr:twoCellAnchor>
  <xdr:twoCellAnchor editAs="oneCell">
    <xdr:from>
      <xdr:col>9</xdr:col>
      <xdr:colOff>351971</xdr:colOff>
      <xdr:row>53</xdr:row>
      <xdr:rowOff>97973</xdr:rowOff>
    </xdr:from>
    <xdr:to>
      <xdr:col>10</xdr:col>
      <xdr:colOff>468086</xdr:colOff>
      <xdr:row>58</xdr:row>
      <xdr:rowOff>105229</xdr:rowOff>
    </xdr:to>
    <xdr:pic>
      <xdr:nvPicPr>
        <xdr:cNvPr id="14" name="Graphique 13" descr="Bouteille contour">
          <a:extLst>
            <a:ext uri="{FF2B5EF4-FFF2-40B4-BE49-F238E27FC236}">
              <a16:creationId xmlns:a16="http://schemas.microsoft.com/office/drawing/2014/main" id="{F98D028F-F778-4755-92A5-BE361BE4FB76}"/>
            </a:ext>
          </a:extLst>
        </xdr:cNvPr>
        <xdr:cNvPicPr>
          <a:picLocks noChangeAspect="1"/>
        </xdr:cNvPicPr>
      </xdr:nvPicPr>
      <xdr:blipFill>
        <a:blip xmlns:r="http://schemas.openxmlformats.org/officeDocument/2006/relationships" r:embed="rId21">
          <a:extLst>
            <a:ext uri="{96DAC541-7B7A-43D3-8B79-37D633B846F1}">
              <asvg:svgBlip xmlns:asvg="http://schemas.microsoft.com/office/drawing/2016/SVG/main" r:embed="rId22"/>
            </a:ext>
          </a:extLst>
        </a:blip>
        <a:stretch>
          <a:fillRect/>
        </a:stretch>
      </xdr:blipFill>
      <xdr:spPr>
        <a:xfrm>
          <a:off x="6209846" y="11175548"/>
          <a:ext cx="878115" cy="912131"/>
        </a:xfrm>
        <a:prstGeom prst="rect">
          <a:avLst/>
        </a:prstGeom>
      </xdr:spPr>
    </xdr:pic>
    <xdr:clientData/>
  </xdr:twoCellAnchor>
  <xdr:twoCellAnchor editAs="oneCell">
    <xdr:from>
      <xdr:col>19</xdr:col>
      <xdr:colOff>116417</xdr:colOff>
      <xdr:row>62</xdr:row>
      <xdr:rowOff>158749</xdr:rowOff>
    </xdr:from>
    <xdr:to>
      <xdr:col>22</xdr:col>
      <xdr:colOff>184307</xdr:colOff>
      <xdr:row>75</xdr:row>
      <xdr:rowOff>125349</xdr:rowOff>
    </xdr:to>
    <xdr:pic>
      <xdr:nvPicPr>
        <xdr:cNvPr id="15" name="Image 14">
          <a:extLst>
            <a:ext uri="{FF2B5EF4-FFF2-40B4-BE49-F238E27FC236}">
              <a16:creationId xmlns:a16="http://schemas.microsoft.com/office/drawing/2014/main" id="{8649F2C7-6CD6-6204-15C7-7F9A3D6DBB48}"/>
            </a:ext>
          </a:extLst>
        </xdr:cNvPr>
        <xdr:cNvPicPr>
          <a:picLocks noChangeAspect="1"/>
        </xdr:cNvPicPr>
      </xdr:nvPicPr>
      <xdr:blipFill>
        <a:blip xmlns:r="http://schemas.openxmlformats.org/officeDocument/2006/relationships" r:embed="rId23"/>
        <a:stretch>
          <a:fillRect/>
        </a:stretch>
      </xdr:blipFill>
      <xdr:spPr>
        <a:xfrm>
          <a:off x="12932834" y="12922249"/>
          <a:ext cx="2671390" cy="2527767"/>
        </a:xfrm>
        <a:prstGeom prst="rect">
          <a:avLst/>
        </a:prstGeom>
      </xdr:spPr>
    </xdr:pic>
    <xdr:clientData/>
  </xdr:twoCellAnchor>
  <xdr:twoCellAnchor editAs="oneCell">
    <xdr:from>
      <xdr:col>14</xdr:col>
      <xdr:colOff>613834</xdr:colOff>
      <xdr:row>62</xdr:row>
      <xdr:rowOff>135239</xdr:rowOff>
    </xdr:from>
    <xdr:to>
      <xdr:col>19</xdr:col>
      <xdr:colOff>148013</xdr:colOff>
      <xdr:row>75</xdr:row>
      <xdr:rowOff>94658</xdr:rowOff>
    </xdr:to>
    <xdr:pic>
      <xdr:nvPicPr>
        <xdr:cNvPr id="16" name="Image 15">
          <a:extLst>
            <a:ext uri="{FF2B5EF4-FFF2-40B4-BE49-F238E27FC236}">
              <a16:creationId xmlns:a16="http://schemas.microsoft.com/office/drawing/2014/main" id="{C7070874-7D4A-5A8D-8D22-F186FF7B5898}"/>
            </a:ext>
          </a:extLst>
        </xdr:cNvPr>
        <xdr:cNvPicPr>
          <a:picLocks noChangeAspect="1"/>
        </xdr:cNvPicPr>
      </xdr:nvPicPr>
      <xdr:blipFill>
        <a:blip xmlns:r="http://schemas.openxmlformats.org/officeDocument/2006/relationships" r:embed="rId24"/>
        <a:stretch>
          <a:fillRect/>
        </a:stretch>
      </xdr:blipFill>
      <xdr:spPr>
        <a:xfrm>
          <a:off x="10149417" y="12898739"/>
          <a:ext cx="2815013" cy="2520586"/>
        </a:xfrm>
        <a:prstGeom prst="rect">
          <a:avLst/>
        </a:prstGeom>
      </xdr:spPr>
    </xdr:pic>
    <xdr:clientData/>
  </xdr:twoCellAnchor>
  <xdr:twoCellAnchor editAs="oneCell">
    <xdr:from>
      <xdr:col>10</xdr:col>
      <xdr:colOff>423334</xdr:colOff>
      <xdr:row>62</xdr:row>
      <xdr:rowOff>91764</xdr:rowOff>
    </xdr:from>
    <xdr:to>
      <xdr:col>14</xdr:col>
      <xdr:colOff>625760</xdr:colOff>
      <xdr:row>75</xdr:row>
      <xdr:rowOff>15277</xdr:rowOff>
    </xdr:to>
    <xdr:pic>
      <xdr:nvPicPr>
        <xdr:cNvPr id="17" name="Image 16">
          <a:extLst>
            <a:ext uri="{FF2B5EF4-FFF2-40B4-BE49-F238E27FC236}">
              <a16:creationId xmlns:a16="http://schemas.microsoft.com/office/drawing/2014/main" id="{73D8F1B8-2428-C30B-065D-C67ECC27CAAF}"/>
            </a:ext>
          </a:extLst>
        </xdr:cNvPr>
        <xdr:cNvPicPr>
          <a:picLocks noChangeAspect="1"/>
        </xdr:cNvPicPr>
      </xdr:nvPicPr>
      <xdr:blipFill>
        <a:blip xmlns:r="http://schemas.openxmlformats.org/officeDocument/2006/relationships" r:embed="rId25"/>
        <a:stretch>
          <a:fillRect/>
        </a:stretch>
      </xdr:blipFill>
      <xdr:spPr>
        <a:xfrm>
          <a:off x="7059084" y="12855264"/>
          <a:ext cx="3102259" cy="2484680"/>
        </a:xfrm>
        <a:prstGeom prst="rect">
          <a:avLst/>
        </a:prstGeom>
      </xdr:spPr>
    </xdr:pic>
    <xdr:clientData/>
  </xdr:twoCellAnchor>
  <xdr:twoCellAnchor>
    <xdr:from>
      <xdr:col>16</xdr:col>
      <xdr:colOff>571500</xdr:colOff>
      <xdr:row>0</xdr:row>
      <xdr:rowOff>74083</xdr:rowOff>
    </xdr:from>
    <xdr:to>
      <xdr:col>19</xdr:col>
      <xdr:colOff>349248</xdr:colOff>
      <xdr:row>1</xdr:row>
      <xdr:rowOff>656166</xdr:rowOff>
    </xdr:to>
    <xdr:sp macro="" textlink="">
      <xdr:nvSpPr>
        <xdr:cNvPr id="18" name="Rectangle : coins arrondis 17">
          <a:hlinkClick xmlns:r="http://schemas.openxmlformats.org/officeDocument/2006/relationships" r:id="rId26"/>
          <a:extLst>
            <a:ext uri="{FF2B5EF4-FFF2-40B4-BE49-F238E27FC236}">
              <a16:creationId xmlns:a16="http://schemas.microsoft.com/office/drawing/2014/main" id="{8EF34381-DDDE-4AFA-A24D-446AC891D590}"/>
            </a:ext>
          </a:extLst>
        </xdr:cNvPr>
        <xdr:cNvSpPr/>
      </xdr:nvSpPr>
      <xdr:spPr>
        <a:xfrm>
          <a:off x="11408833" y="74083"/>
          <a:ext cx="1756832" cy="97366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solidFill>
                <a:schemeClr val="lt1"/>
              </a:solidFill>
              <a:effectLst/>
              <a:latin typeface="+mn-lt"/>
              <a:ea typeface="+mn-ea"/>
              <a:cs typeface="+mn-cs"/>
            </a:rPr>
            <a:t>🏠</a:t>
          </a:r>
          <a:r>
            <a:rPr lang="fr-FR" sz="2400"/>
            <a:t>Back to </a:t>
          </a:r>
        </a:p>
        <a:p>
          <a:pPr algn="ctr"/>
          <a:r>
            <a:rPr lang="fr-FR" sz="2400"/>
            <a:t>all recipes  </a:t>
          </a:r>
        </a:p>
      </xdr:txBody>
    </xdr:sp>
    <xdr:clientData/>
  </xdr:twoCellAnchor>
  <xdr:twoCellAnchor>
    <xdr:from>
      <xdr:col>19</xdr:col>
      <xdr:colOff>438149</xdr:colOff>
      <xdr:row>0</xdr:row>
      <xdr:rowOff>306914</xdr:rowOff>
    </xdr:from>
    <xdr:to>
      <xdr:col>21</xdr:col>
      <xdr:colOff>507998</xdr:colOff>
      <xdr:row>1</xdr:row>
      <xdr:rowOff>380998</xdr:rowOff>
    </xdr:to>
    <xdr:sp macro="" textlink="">
      <xdr:nvSpPr>
        <xdr:cNvPr id="19" name="Rectangle : coins arrondis 18">
          <a:hlinkClick xmlns:r="http://schemas.openxmlformats.org/officeDocument/2006/relationships" r:id="rId27"/>
          <a:extLst>
            <a:ext uri="{FF2B5EF4-FFF2-40B4-BE49-F238E27FC236}">
              <a16:creationId xmlns:a16="http://schemas.microsoft.com/office/drawing/2014/main" id="{BC940FA2-4646-4BA7-863E-43E3B7B1D9F3}"/>
            </a:ext>
          </a:extLst>
        </xdr:cNvPr>
        <xdr:cNvSpPr/>
      </xdr:nvSpPr>
      <xdr:spPr>
        <a:xfrm>
          <a:off x="13254566" y="306914"/>
          <a:ext cx="1773765" cy="46566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Ingredients </a:t>
          </a:r>
        </a:p>
      </xdr:txBody>
    </xdr:sp>
    <xdr:clientData/>
  </xdr:twoCellAnchor>
  <xdr:twoCellAnchor>
    <xdr:from>
      <xdr:col>21</xdr:col>
      <xdr:colOff>611716</xdr:colOff>
      <xdr:row>0</xdr:row>
      <xdr:rowOff>317499</xdr:rowOff>
    </xdr:from>
    <xdr:to>
      <xdr:col>23</xdr:col>
      <xdr:colOff>455082</xdr:colOff>
      <xdr:row>1</xdr:row>
      <xdr:rowOff>368301</xdr:rowOff>
    </xdr:to>
    <xdr:sp macro="" textlink="">
      <xdr:nvSpPr>
        <xdr:cNvPr id="20" name="Rectangle : coins arrondis 19">
          <a:hlinkClick xmlns:r="http://schemas.openxmlformats.org/officeDocument/2006/relationships" r:id="rId28"/>
          <a:extLst>
            <a:ext uri="{FF2B5EF4-FFF2-40B4-BE49-F238E27FC236}">
              <a16:creationId xmlns:a16="http://schemas.microsoft.com/office/drawing/2014/main" id="{E6866261-6489-4AA2-9104-CEB8F24B5695}"/>
            </a:ext>
          </a:extLst>
        </xdr:cNvPr>
        <xdr:cNvSpPr/>
      </xdr:nvSpPr>
      <xdr:spPr>
        <a:xfrm>
          <a:off x="15132049" y="317499"/>
          <a:ext cx="1504950" cy="44238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Convertor</a:t>
          </a:r>
        </a:p>
      </xdr:txBody>
    </xdr:sp>
    <xdr:clientData/>
  </xdr:twoCellAnchor>
  <xdr:twoCellAnchor>
    <xdr:from>
      <xdr:col>23</xdr:col>
      <xdr:colOff>584199</xdr:colOff>
      <xdr:row>0</xdr:row>
      <xdr:rowOff>328082</xdr:rowOff>
    </xdr:from>
    <xdr:to>
      <xdr:col>25</xdr:col>
      <xdr:colOff>660399</xdr:colOff>
      <xdr:row>1</xdr:row>
      <xdr:rowOff>361952</xdr:rowOff>
    </xdr:to>
    <xdr:sp macro="" textlink="">
      <xdr:nvSpPr>
        <xdr:cNvPr id="21" name="Rectangle : coins arrondis 20">
          <a:hlinkClick xmlns:r="http://schemas.openxmlformats.org/officeDocument/2006/relationships" r:id="rId29"/>
          <a:extLst>
            <a:ext uri="{FF2B5EF4-FFF2-40B4-BE49-F238E27FC236}">
              <a16:creationId xmlns:a16="http://schemas.microsoft.com/office/drawing/2014/main" id="{D262CFBE-33E9-4F83-859C-243D27EF1B60}"/>
            </a:ext>
          </a:extLst>
        </xdr:cNvPr>
        <xdr:cNvSpPr/>
      </xdr:nvSpPr>
      <xdr:spPr>
        <a:xfrm>
          <a:off x="16766116" y="328082"/>
          <a:ext cx="1504950" cy="42545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Beer style</a:t>
          </a:r>
        </a:p>
      </xdr:txBody>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82</xdr:col>
      <xdr:colOff>133349</xdr:colOff>
      <xdr:row>1</xdr:row>
      <xdr:rowOff>0</xdr:rowOff>
    </xdr:from>
    <xdr:to>
      <xdr:col>87</xdr:col>
      <xdr:colOff>296172</xdr:colOff>
      <xdr:row>3</xdr:row>
      <xdr:rowOff>555213</xdr:rowOff>
    </xdr:to>
    <xdr:pic>
      <xdr:nvPicPr>
        <xdr:cNvPr id="2" name="Image 1">
          <a:extLst>
            <a:ext uri="{FF2B5EF4-FFF2-40B4-BE49-F238E27FC236}">
              <a16:creationId xmlns:a16="http://schemas.microsoft.com/office/drawing/2014/main" id="{C9356D1E-7131-EE05-EE26-DCDDBC24538E}"/>
            </a:ext>
          </a:extLst>
        </xdr:cNvPr>
        <xdr:cNvPicPr>
          <a:picLocks noChangeAspect="1"/>
        </xdr:cNvPicPr>
      </xdr:nvPicPr>
      <xdr:blipFill>
        <a:blip xmlns:r="http://schemas.openxmlformats.org/officeDocument/2006/relationships" r:embed="rId1"/>
        <a:stretch>
          <a:fillRect/>
        </a:stretch>
      </xdr:blipFill>
      <xdr:spPr>
        <a:xfrm>
          <a:off x="59626499" y="0"/>
          <a:ext cx="3782321" cy="1402938"/>
        </a:xfrm>
        <a:prstGeom prst="rect">
          <a:avLst/>
        </a:prstGeom>
      </xdr:spPr>
    </xdr:pic>
    <xdr:clientData/>
  </xdr:twoCellAnchor>
  <xdr:twoCellAnchor editAs="oneCell">
    <xdr:from>
      <xdr:col>12</xdr:col>
      <xdr:colOff>108597</xdr:colOff>
      <xdr:row>51</xdr:row>
      <xdr:rowOff>514049</xdr:rowOff>
    </xdr:from>
    <xdr:to>
      <xdr:col>13</xdr:col>
      <xdr:colOff>119570</xdr:colOff>
      <xdr:row>64</xdr:row>
      <xdr:rowOff>418801</xdr:rowOff>
    </xdr:to>
    <xdr:pic>
      <xdr:nvPicPr>
        <xdr:cNvPr id="4" name="Image 3">
          <a:extLst>
            <a:ext uri="{FF2B5EF4-FFF2-40B4-BE49-F238E27FC236}">
              <a16:creationId xmlns:a16="http://schemas.microsoft.com/office/drawing/2014/main" id="{5A7E1239-4076-CB90-99FE-E352931E3327}"/>
            </a:ext>
          </a:extLst>
        </xdr:cNvPr>
        <xdr:cNvPicPr>
          <a:picLocks noChangeAspect="1"/>
        </xdr:cNvPicPr>
      </xdr:nvPicPr>
      <xdr:blipFill>
        <a:blip xmlns:r="http://schemas.openxmlformats.org/officeDocument/2006/relationships" r:embed="rId2"/>
        <a:stretch>
          <a:fillRect/>
        </a:stretch>
      </xdr:blipFill>
      <xdr:spPr>
        <a:xfrm rot="5400000">
          <a:off x="6696916" y="31845813"/>
          <a:ext cx="7334252" cy="889390"/>
        </a:xfrm>
        <a:prstGeom prst="rect">
          <a:avLst/>
        </a:prstGeom>
      </xdr:spPr>
    </xdr:pic>
    <xdr:clientData/>
  </xdr:twoCellAnchor>
  <xdr:twoCellAnchor editAs="oneCell">
    <xdr:from>
      <xdr:col>83</xdr:col>
      <xdr:colOff>285749</xdr:colOff>
      <xdr:row>27</xdr:row>
      <xdr:rowOff>384023</xdr:rowOff>
    </xdr:from>
    <xdr:to>
      <xdr:col>89</xdr:col>
      <xdr:colOff>2356756</xdr:colOff>
      <xdr:row>40</xdr:row>
      <xdr:rowOff>479273</xdr:rowOff>
    </xdr:to>
    <xdr:pic>
      <xdr:nvPicPr>
        <xdr:cNvPr id="3" name="Image 2">
          <a:extLst>
            <a:ext uri="{FF2B5EF4-FFF2-40B4-BE49-F238E27FC236}">
              <a16:creationId xmlns:a16="http://schemas.microsoft.com/office/drawing/2014/main" id="{5FAA744B-E3DD-880C-B48E-7BF5D2FF96AB}"/>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9532499" y="14777356"/>
          <a:ext cx="7214507" cy="7524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141362</xdr:colOff>
      <xdr:row>45</xdr:row>
      <xdr:rowOff>296333</xdr:rowOff>
    </xdr:from>
    <xdr:to>
      <xdr:col>15</xdr:col>
      <xdr:colOff>325059</xdr:colOff>
      <xdr:row>48</xdr:row>
      <xdr:rowOff>349251</xdr:rowOff>
    </xdr:to>
    <xdr:graphicFrame macro="">
      <xdr:nvGraphicFramePr>
        <xdr:cNvPr id="5" name="Graphique 4">
          <a:extLst>
            <a:ext uri="{FF2B5EF4-FFF2-40B4-BE49-F238E27FC236}">
              <a16:creationId xmlns:a16="http://schemas.microsoft.com/office/drawing/2014/main" id="{7DEB18A2-ED7E-361F-F9CC-4C5B091B95C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136071</xdr:colOff>
      <xdr:row>0</xdr:row>
      <xdr:rowOff>136071</xdr:rowOff>
    </xdr:from>
    <xdr:to>
      <xdr:col>3</xdr:col>
      <xdr:colOff>272143</xdr:colOff>
      <xdr:row>1</xdr:row>
      <xdr:rowOff>190500</xdr:rowOff>
    </xdr:to>
    <xdr:sp macro="" textlink="">
      <xdr:nvSpPr>
        <xdr:cNvPr id="6" name="Rectangle : coins arrondis 5">
          <a:hlinkClick xmlns:r="http://schemas.openxmlformats.org/officeDocument/2006/relationships" r:id="rId5"/>
          <a:extLst>
            <a:ext uri="{FF2B5EF4-FFF2-40B4-BE49-F238E27FC236}">
              <a16:creationId xmlns:a16="http://schemas.microsoft.com/office/drawing/2014/main" id="{70ABE201-BF5B-41DB-B66A-79BE84943428}"/>
            </a:ext>
          </a:extLst>
        </xdr:cNvPr>
        <xdr:cNvSpPr/>
      </xdr:nvSpPr>
      <xdr:spPr>
        <a:xfrm>
          <a:off x="136071" y="136071"/>
          <a:ext cx="2925536" cy="625929"/>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solidFill>
                <a:schemeClr val="lt1"/>
              </a:solidFill>
              <a:effectLst/>
              <a:latin typeface="+mn-lt"/>
              <a:ea typeface="+mn-ea"/>
              <a:cs typeface="+mn-cs"/>
            </a:rPr>
            <a:t>🏠</a:t>
          </a:r>
          <a:r>
            <a:rPr lang="fr-FR" sz="2400"/>
            <a:t>Back to all recipes  </a:t>
          </a:r>
        </a:p>
      </xdr:txBody>
    </xdr:sp>
    <xdr:clientData/>
  </xdr:twoCellAnchor>
  <xdr:twoCellAnchor>
    <xdr:from>
      <xdr:col>3</xdr:col>
      <xdr:colOff>416680</xdr:colOff>
      <xdr:row>0</xdr:row>
      <xdr:rowOff>161773</xdr:rowOff>
    </xdr:from>
    <xdr:to>
      <xdr:col>5</xdr:col>
      <xdr:colOff>530679</xdr:colOff>
      <xdr:row>1</xdr:row>
      <xdr:rowOff>176893</xdr:rowOff>
    </xdr:to>
    <xdr:sp macro="" textlink="">
      <xdr:nvSpPr>
        <xdr:cNvPr id="8" name="Rectangle : coins arrondis 7">
          <a:hlinkClick xmlns:r="http://schemas.openxmlformats.org/officeDocument/2006/relationships" r:id="rId6"/>
          <a:extLst>
            <a:ext uri="{FF2B5EF4-FFF2-40B4-BE49-F238E27FC236}">
              <a16:creationId xmlns:a16="http://schemas.microsoft.com/office/drawing/2014/main" id="{89C1601E-FA89-4A87-A5E7-3D15A85FAC80}"/>
            </a:ext>
          </a:extLst>
        </xdr:cNvPr>
        <xdr:cNvSpPr/>
      </xdr:nvSpPr>
      <xdr:spPr>
        <a:xfrm>
          <a:off x="3206144" y="161773"/>
          <a:ext cx="1556356" cy="58662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Convertor</a:t>
          </a:r>
        </a:p>
      </xdr:txBody>
    </xdr:sp>
    <xdr:clientData/>
  </xdr:twoCellAnchor>
  <xdr:twoCellAnchor>
    <xdr:from>
      <xdr:col>5</xdr:col>
      <xdr:colOff>703640</xdr:colOff>
      <xdr:row>0</xdr:row>
      <xdr:rowOff>172356</xdr:rowOff>
    </xdr:from>
    <xdr:to>
      <xdr:col>7</xdr:col>
      <xdr:colOff>466875</xdr:colOff>
      <xdr:row>1</xdr:row>
      <xdr:rowOff>163286</xdr:rowOff>
    </xdr:to>
    <xdr:sp macro="" textlink="">
      <xdr:nvSpPr>
        <xdr:cNvPr id="9" name="Rectangle : coins arrondis 8">
          <a:hlinkClick xmlns:r="http://schemas.openxmlformats.org/officeDocument/2006/relationships" r:id="rId7"/>
          <a:extLst>
            <a:ext uri="{FF2B5EF4-FFF2-40B4-BE49-F238E27FC236}">
              <a16:creationId xmlns:a16="http://schemas.microsoft.com/office/drawing/2014/main" id="{796E933D-ECC0-49F9-9E4A-E4393A3368F4}"/>
            </a:ext>
          </a:extLst>
        </xdr:cNvPr>
        <xdr:cNvSpPr/>
      </xdr:nvSpPr>
      <xdr:spPr>
        <a:xfrm>
          <a:off x="4935461" y="172356"/>
          <a:ext cx="1504950" cy="562430"/>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Beer style</a:t>
          </a: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123826</xdr:colOff>
      <xdr:row>0</xdr:row>
      <xdr:rowOff>104775</xdr:rowOff>
    </xdr:from>
    <xdr:to>
      <xdr:col>1</xdr:col>
      <xdr:colOff>1628776</xdr:colOff>
      <xdr:row>2</xdr:row>
      <xdr:rowOff>171450</xdr:rowOff>
    </xdr:to>
    <xdr:sp macro="" textlink="">
      <xdr:nvSpPr>
        <xdr:cNvPr id="3" name="Rectangle : coins arrondis 2">
          <a:hlinkClick xmlns:r="http://schemas.openxmlformats.org/officeDocument/2006/relationships" r:id="rId1"/>
          <a:extLst>
            <a:ext uri="{FF2B5EF4-FFF2-40B4-BE49-F238E27FC236}">
              <a16:creationId xmlns:a16="http://schemas.microsoft.com/office/drawing/2014/main" id="{EB7B933B-060E-4AED-81F6-FD30B845476E}"/>
            </a:ext>
          </a:extLst>
        </xdr:cNvPr>
        <xdr:cNvSpPr/>
      </xdr:nvSpPr>
      <xdr:spPr>
        <a:xfrm>
          <a:off x="123826" y="104775"/>
          <a:ext cx="2266950" cy="44767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800">
              <a:solidFill>
                <a:schemeClr val="lt1"/>
              </a:solidFill>
              <a:effectLst/>
              <a:latin typeface="+mn-lt"/>
              <a:ea typeface="+mn-ea"/>
              <a:cs typeface="+mn-cs"/>
            </a:rPr>
            <a:t>🏠</a:t>
          </a:r>
          <a:r>
            <a:rPr lang="fr-FR" sz="1800"/>
            <a:t>Back to all recipes  </a:t>
          </a:r>
        </a:p>
      </xdr:txBody>
    </xdr:sp>
    <xdr:clientData/>
  </xdr:twoCellAnchor>
  <xdr:twoCellAnchor>
    <xdr:from>
      <xdr:col>2</xdr:col>
      <xdr:colOff>9525</xdr:colOff>
      <xdr:row>0</xdr:row>
      <xdr:rowOff>133350</xdr:rowOff>
    </xdr:from>
    <xdr:to>
      <xdr:col>3</xdr:col>
      <xdr:colOff>257175</xdr:colOff>
      <xdr:row>2</xdr:row>
      <xdr:rowOff>122767</xdr:rowOff>
    </xdr:to>
    <xdr:sp macro="" textlink="">
      <xdr:nvSpPr>
        <xdr:cNvPr id="4" name="Rectangle : coins arrondis 3">
          <a:hlinkClick xmlns:r="http://schemas.openxmlformats.org/officeDocument/2006/relationships" r:id="rId2"/>
          <a:extLst>
            <a:ext uri="{FF2B5EF4-FFF2-40B4-BE49-F238E27FC236}">
              <a16:creationId xmlns:a16="http://schemas.microsoft.com/office/drawing/2014/main" id="{EB0B1AF3-75AD-4DEB-9E12-A6F8E2EFF4DA}"/>
            </a:ext>
          </a:extLst>
        </xdr:cNvPr>
        <xdr:cNvSpPr/>
      </xdr:nvSpPr>
      <xdr:spPr>
        <a:xfrm>
          <a:off x="2495550" y="133350"/>
          <a:ext cx="1285875" cy="37041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800"/>
            <a:t>Ingredients</a:t>
          </a:r>
          <a:r>
            <a:rPr lang="fr-FR" sz="2400"/>
            <a:t> </a:t>
          </a:r>
        </a:p>
      </xdr:txBody>
    </xdr:sp>
    <xdr:clientData/>
  </xdr:twoCellAnchor>
  <xdr:twoCellAnchor>
    <xdr:from>
      <xdr:col>3</xdr:col>
      <xdr:colOff>363008</xdr:colOff>
      <xdr:row>0</xdr:row>
      <xdr:rowOff>114300</xdr:rowOff>
    </xdr:from>
    <xdr:to>
      <xdr:col>5</xdr:col>
      <xdr:colOff>247650</xdr:colOff>
      <xdr:row>2</xdr:row>
      <xdr:rowOff>119595</xdr:rowOff>
    </xdr:to>
    <xdr:sp macro="" textlink="">
      <xdr:nvSpPr>
        <xdr:cNvPr id="5" name="Rectangle : coins arrondis 4">
          <a:hlinkClick xmlns:r="http://schemas.openxmlformats.org/officeDocument/2006/relationships" r:id="rId3"/>
          <a:extLst>
            <a:ext uri="{FF2B5EF4-FFF2-40B4-BE49-F238E27FC236}">
              <a16:creationId xmlns:a16="http://schemas.microsoft.com/office/drawing/2014/main" id="{120D1440-618A-4341-9551-733B3FAF417B}"/>
            </a:ext>
          </a:extLst>
        </xdr:cNvPr>
        <xdr:cNvSpPr/>
      </xdr:nvSpPr>
      <xdr:spPr>
        <a:xfrm>
          <a:off x="3887258" y="114300"/>
          <a:ext cx="1256242" cy="386295"/>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1800"/>
            <a:t>Convertor</a:t>
          </a:r>
        </a:p>
      </xdr:txBody>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498929</xdr:colOff>
      <xdr:row>34</xdr:row>
      <xdr:rowOff>27215</xdr:rowOff>
    </xdr:from>
    <xdr:to>
      <xdr:col>13</xdr:col>
      <xdr:colOff>537550</xdr:colOff>
      <xdr:row>44</xdr:row>
      <xdr:rowOff>105326</xdr:rowOff>
    </xdr:to>
    <xdr:pic>
      <xdr:nvPicPr>
        <xdr:cNvPr id="2" name="Image 1">
          <a:extLst>
            <a:ext uri="{FF2B5EF4-FFF2-40B4-BE49-F238E27FC236}">
              <a16:creationId xmlns:a16="http://schemas.microsoft.com/office/drawing/2014/main" id="{CCC188B7-6EDB-17EE-CEE4-5D7692C34DED}"/>
            </a:ext>
          </a:extLst>
        </xdr:cNvPr>
        <xdr:cNvPicPr>
          <a:picLocks noChangeAspect="1"/>
        </xdr:cNvPicPr>
      </xdr:nvPicPr>
      <xdr:blipFill>
        <a:blip xmlns:r="http://schemas.openxmlformats.org/officeDocument/2006/relationships" r:embed="rId1"/>
        <a:stretch>
          <a:fillRect/>
        </a:stretch>
      </xdr:blipFill>
      <xdr:spPr>
        <a:xfrm>
          <a:off x="498929" y="6839858"/>
          <a:ext cx="10135121" cy="1892397"/>
        </a:xfrm>
        <a:prstGeom prst="rect">
          <a:avLst/>
        </a:prstGeom>
      </xdr:spPr>
    </xdr:pic>
    <xdr:clientData/>
  </xdr:twoCellAnchor>
  <xdr:twoCellAnchor editAs="oneCell">
    <xdr:from>
      <xdr:col>0</xdr:col>
      <xdr:colOff>544284</xdr:colOff>
      <xdr:row>66</xdr:row>
      <xdr:rowOff>72572</xdr:rowOff>
    </xdr:from>
    <xdr:to>
      <xdr:col>13</xdr:col>
      <xdr:colOff>741663</xdr:colOff>
      <xdr:row>78</xdr:row>
      <xdr:rowOff>111693</xdr:rowOff>
    </xdr:to>
    <xdr:pic>
      <xdr:nvPicPr>
        <xdr:cNvPr id="3" name="Image 2">
          <a:extLst>
            <a:ext uri="{FF2B5EF4-FFF2-40B4-BE49-F238E27FC236}">
              <a16:creationId xmlns:a16="http://schemas.microsoft.com/office/drawing/2014/main" id="{264CA5AC-3F7A-89C1-A58C-6473286AD9CD}"/>
            </a:ext>
          </a:extLst>
        </xdr:cNvPr>
        <xdr:cNvPicPr>
          <a:picLocks noChangeAspect="1"/>
        </xdr:cNvPicPr>
      </xdr:nvPicPr>
      <xdr:blipFill>
        <a:blip xmlns:r="http://schemas.openxmlformats.org/officeDocument/2006/relationships" r:embed="rId2"/>
        <a:stretch>
          <a:fillRect/>
        </a:stretch>
      </xdr:blipFill>
      <xdr:spPr>
        <a:xfrm>
          <a:off x="544284" y="12709072"/>
          <a:ext cx="10293879" cy="2216264"/>
        </a:xfrm>
        <a:prstGeom prst="rect">
          <a:avLst/>
        </a:prstGeom>
      </xdr:spPr>
    </xdr:pic>
    <xdr:clientData/>
  </xdr:twoCellAnchor>
  <xdr:twoCellAnchor editAs="oneCell">
    <xdr:from>
      <xdr:col>0</xdr:col>
      <xdr:colOff>625929</xdr:colOff>
      <xdr:row>45</xdr:row>
      <xdr:rowOff>108858</xdr:rowOff>
    </xdr:from>
    <xdr:to>
      <xdr:col>15</xdr:col>
      <xdr:colOff>270908</xdr:colOff>
      <xdr:row>65</xdr:row>
      <xdr:rowOff>87271</xdr:rowOff>
    </xdr:to>
    <xdr:pic>
      <xdr:nvPicPr>
        <xdr:cNvPr id="4" name="Image 3">
          <a:extLst>
            <a:ext uri="{FF2B5EF4-FFF2-40B4-BE49-F238E27FC236}">
              <a16:creationId xmlns:a16="http://schemas.microsoft.com/office/drawing/2014/main" id="{886BFEB8-8FCF-B4CF-FF63-807CCAC2F687}"/>
            </a:ext>
          </a:extLst>
        </xdr:cNvPr>
        <xdr:cNvPicPr>
          <a:picLocks noChangeAspect="1"/>
        </xdr:cNvPicPr>
      </xdr:nvPicPr>
      <xdr:blipFill>
        <a:blip xmlns:r="http://schemas.openxmlformats.org/officeDocument/2006/relationships" r:embed="rId3"/>
        <a:stretch>
          <a:fillRect/>
        </a:stretch>
      </xdr:blipFill>
      <xdr:spPr>
        <a:xfrm>
          <a:off x="625929" y="8935358"/>
          <a:ext cx="11265479" cy="3606985"/>
        </a:xfrm>
        <a:prstGeom prst="rect">
          <a:avLst/>
        </a:prstGeom>
      </xdr:spPr>
    </xdr:pic>
    <xdr:clientData/>
  </xdr:twoCellAnchor>
  <xdr:twoCellAnchor editAs="oneCell">
    <xdr:from>
      <xdr:col>0</xdr:col>
      <xdr:colOff>625929</xdr:colOff>
      <xdr:row>79</xdr:row>
      <xdr:rowOff>145143</xdr:rowOff>
    </xdr:from>
    <xdr:to>
      <xdr:col>11</xdr:col>
      <xdr:colOff>207238</xdr:colOff>
      <xdr:row>90</xdr:row>
      <xdr:rowOff>111680</xdr:rowOff>
    </xdr:to>
    <xdr:pic>
      <xdr:nvPicPr>
        <xdr:cNvPr id="5" name="Image 4">
          <a:extLst>
            <a:ext uri="{FF2B5EF4-FFF2-40B4-BE49-F238E27FC236}">
              <a16:creationId xmlns:a16="http://schemas.microsoft.com/office/drawing/2014/main" id="{F0793353-3E5F-41AC-787C-B61FB341A7C6}"/>
            </a:ext>
          </a:extLst>
        </xdr:cNvPr>
        <xdr:cNvPicPr>
          <a:picLocks noChangeAspect="1"/>
        </xdr:cNvPicPr>
      </xdr:nvPicPr>
      <xdr:blipFill>
        <a:blip xmlns:r="http://schemas.openxmlformats.org/officeDocument/2006/relationships" r:embed="rId4"/>
        <a:stretch>
          <a:fillRect/>
        </a:stretch>
      </xdr:blipFill>
      <xdr:spPr>
        <a:xfrm>
          <a:off x="625929" y="15140214"/>
          <a:ext cx="7963309" cy="1962251"/>
        </a:xfrm>
        <a:prstGeom prst="rect">
          <a:avLst/>
        </a:prstGeom>
      </xdr:spPr>
    </xdr:pic>
    <xdr:clientData/>
  </xdr:twoCellAnchor>
  <xdr:twoCellAnchor editAs="oneCell">
    <xdr:from>
      <xdr:col>14</xdr:col>
      <xdr:colOff>217714</xdr:colOff>
      <xdr:row>34</xdr:row>
      <xdr:rowOff>172357</xdr:rowOff>
    </xdr:from>
    <xdr:to>
      <xdr:col>26</xdr:col>
      <xdr:colOff>542051</xdr:colOff>
      <xdr:row>43</xdr:row>
      <xdr:rowOff>12776</xdr:rowOff>
    </xdr:to>
    <xdr:pic>
      <xdr:nvPicPr>
        <xdr:cNvPr id="6" name="Image 5">
          <a:extLst>
            <a:ext uri="{FF2B5EF4-FFF2-40B4-BE49-F238E27FC236}">
              <a16:creationId xmlns:a16="http://schemas.microsoft.com/office/drawing/2014/main" id="{89051BEC-3954-9E37-11E8-78629F19CEA9}"/>
            </a:ext>
          </a:extLst>
        </xdr:cNvPr>
        <xdr:cNvPicPr>
          <a:picLocks noChangeAspect="1"/>
        </xdr:cNvPicPr>
      </xdr:nvPicPr>
      <xdr:blipFill>
        <a:blip xmlns:r="http://schemas.openxmlformats.org/officeDocument/2006/relationships" r:embed="rId5"/>
        <a:stretch>
          <a:fillRect/>
        </a:stretch>
      </xdr:blipFill>
      <xdr:spPr>
        <a:xfrm>
          <a:off x="10885714" y="7003143"/>
          <a:ext cx="9468337" cy="1473276"/>
        </a:xfrm>
        <a:prstGeom prst="rect">
          <a:avLst/>
        </a:prstGeom>
      </xdr:spPr>
    </xdr:pic>
    <xdr:clientData/>
  </xdr:twoCellAnchor>
  <xdr:twoCellAnchor>
    <xdr:from>
      <xdr:col>18</xdr:col>
      <xdr:colOff>381000</xdr:colOff>
      <xdr:row>0</xdr:row>
      <xdr:rowOff>81643</xdr:rowOff>
    </xdr:from>
    <xdr:to>
      <xdr:col>20</xdr:col>
      <xdr:colOff>613832</xdr:colOff>
      <xdr:row>4</xdr:row>
      <xdr:rowOff>48380</xdr:rowOff>
    </xdr:to>
    <xdr:sp macro="" textlink="">
      <xdr:nvSpPr>
        <xdr:cNvPr id="7" name="Rectangle : coins arrondis 6">
          <a:hlinkClick xmlns:r="http://schemas.openxmlformats.org/officeDocument/2006/relationships" r:id="rId6"/>
          <a:extLst>
            <a:ext uri="{FF2B5EF4-FFF2-40B4-BE49-F238E27FC236}">
              <a16:creationId xmlns:a16="http://schemas.microsoft.com/office/drawing/2014/main" id="{D0E86420-7B1E-46A9-B9EB-03B2DD6FD936}"/>
            </a:ext>
          </a:extLst>
        </xdr:cNvPr>
        <xdr:cNvSpPr/>
      </xdr:nvSpPr>
      <xdr:spPr>
        <a:xfrm>
          <a:off x="14246679" y="81643"/>
          <a:ext cx="1756832" cy="973666"/>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solidFill>
                <a:schemeClr val="lt1"/>
              </a:solidFill>
              <a:effectLst/>
              <a:latin typeface="+mn-lt"/>
              <a:ea typeface="+mn-ea"/>
              <a:cs typeface="+mn-cs"/>
            </a:rPr>
            <a:t>🏠</a:t>
          </a:r>
          <a:r>
            <a:rPr lang="fr-FR" sz="2400"/>
            <a:t>Back to </a:t>
          </a:r>
        </a:p>
        <a:p>
          <a:pPr algn="ctr"/>
          <a:r>
            <a:rPr lang="fr-FR" sz="2400"/>
            <a:t>all recipes  </a:t>
          </a:r>
        </a:p>
      </xdr:txBody>
    </xdr:sp>
    <xdr:clientData/>
  </xdr:twoCellAnchor>
  <xdr:twoCellAnchor>
    <xdr:from>
      <xdr:col>18</xdr:col>
      <xdr:colOff>389769</xdr:colOff>
      <xdr:row>5</xdr:row>
      <xdr:rowOff>1510</xdr:rowOff>
    </xdr:from>
    <xdr:to>
      <xdr:col>20</xdr:col>
      <xdr:colOff>639534</xdr:colOff>
      <xdr:row>7</xdr:row>
      <xdr:rowOff>31749</xdr:rowOff>
    </xdr:to>
    <xdr:sp macro="" textlink="">
      <xdr:nvSpPr>
        <xdr:cNvPr id="8" name="Rectangle : coins arrondis 7">
          <a:hlinkClick xmlns:r="http://schemas.openxmlformats.org/officeDocument/2006/relationships" r:id="rId7"/>
          <a:extLst>
            <a:ext uri="{FF2B5EF4-FFF2-40B4-BE49-F238E27FC236}">
              <a16:creationId xmlns:a16="http://schemas.microsoft.com/office/drawing/2014/main" id="{CB128BF2-4F4F-4CA2-80CE-21248D410DFA}"/>
            </a:ext>
          </a:extLst>
        </xdr:cNvPr>
        <xdr:cNvSpPr/>
      </xdr:nvSpPr>
      <xdr:spPr>
        <a:xfrm>
          <a:off x="14255448" y="1198939"/>
          <a:ext cx="1773765" cy="465667"/>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Ingredients </a:t>
          </a:r>
        </a:p>
      </xdr:txBody>
    </xdr:sp>
    <xdr:clientData/>
  </xdr:twoCellAnchor>
  <xdr:twoCellAnchor>
    <xdr:from>
      <xdr:col>18</xdr:col>
      <xdr:colOff>404283</xdr:colOff>
      <xdr:row>7</xdr:row>
      <xdr:rowOff>172357</xdr:rowOff>
    </xdr:from>
    <xdr:to>
      <xdr:col>20</xdr:col>
      <xdr:colOff>385233</xdr:colOff>
      <xdr:row>10</xdr:row>
      <xdr:rowOff>26310</xdr:rowOff>
    </xdr:to>
    <xdr:sp macro="" textlink="">
      <xdr:nvSpPr>
        <xdr:cNvPr id="9" name="Rectangle : coins arrondis 8">
          <a:hlinkClick xmlns:r="http://schemas.openxmlformats.org/officeDocument/2006/relationships" r:id="rId8"/>
          <a:extLst>
            <a:ext uri="{FF2B5EF4-FFF2-40B4-BE49-F238E27FC236}">
              <a16:creationId xmlns:a16="http://schemas.microsoft.com/office/drawing/2014/main" id="{FD520812-D616-40D3-95E1-5B1B8340C873}"/>
            </a:ext>
          </a:extLst>
        </xdr:cNvPr>
        <xdr:cNvSpPr/>
      </xdr:nvSpPr>
      <xdr:spPr>
        <a:xfrm>
          <a:off x="14269962" y="1805214"/>
          <a:ext cx="1504950" cy="425453"/>
        </a:xfrm>
        <a:prstGeom prst="roundRect">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fr-FR" sz="2400"/>
            <a:t>Beer style</a:t>
          </a:r>
        </a:p>
      </xdr:txBody>
    </xdr:sp>
    <xdr:clientData/>
  </xdr:twoCellAnchor>
</xdr:wsDr>
</file>

<file path=xl/persons/person.xml><?xml version="1.0" encoding="utf-8"?>
<personList xmlns="http://schemas.microsoft.com/office/spreadsheetml/2018/threadedcomments" xmlns:x="http://schemas.openxmlformats.org/spreadsheetml/2006/mai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388DBCA1-FEA7-4407-B511-50B5F3448262}" name="Tableau2" displayName="Tableau2" ref="AF5:AT357" totalsRowShown="0" headerRowDxfId="73" dataDxfId="71" headerRowBorderDxfId="72" tableBorderDxfId="70">
  <autoFilter ref="AF5:AT357" xr:uid="{388DBCA1-FEA7-4407-B511-50B5F3448262}"/>
  <sortState xmlns:xlrd2="http://schemas.microsoft.com/office/spreadsheetml/2017/richdata2" ref="AF6:AT354">
    <sortCondition ref="AF5:AF357"/>
  </sortState>
  <tableColumns count="15">
    <tableColumn id="1" xr3:uid="{2E04D72B-A82D-4428-828D-90A20B22D2D3}" name="Nom" dataDxfId="69"/>
    <tableColumn id="2" xr3:uid="{5FDF7477-1C0E-4646-B5B1-945A5B9DCDF7}" name="Lab" dataDxfId="68"/>
    <tableColumn id="16" xr3:uid="{EEEEB9C1-C879-46F1-A75F-A3103586FE54}" name="Type" dataDxfId="67"/>
    <tableColumn id="4" xr3:uid="{C9EFB984-1EB5-4ADE-96DA-7C6E6A4C9C1B}" name="Atténuation min" dataDxfId="66"/>
    <tableColumn id="5" xr3:uid="{7E41400D-BCD2-47FD-9D84-EC476E06B390}" name="Atténuation max" dataDxfId="65"/>
    <tableColumn id="6" xr3:uid="{B7379A33-8709-4AC7-9462-24B0E076AA1A}" name="Atténuation moyenne calculée" dataDxfId="64"/>
    <tableColumn id="7" xr3:uid="{05C63A06-ECC0-4795-ADFB-631DCFE596ED}" name="T°C min" dataDxfId="63"/>
    <tableColumn id="8" xr3:uid="{AF35920F-DF58-4382-BFB3-867E17777258}" name="T°C max" dataDxfId="62"/>
    <tableColumn id="9" xr3:uid="{C184681A-76BC-41FE-BE2B-4EFD61943769}" name="Floculation" dataDxfId="61"/>
    <tableColumn id="10" xr3:uid="{34CE5EEA-3F8D-4F8F-BAB8-C31304E390CB}" name="Style" dataDxfId="60"/>
    <tableColumn id="11" xr3:uid="{31C42750-15B4-4BF7-B13F-EB184247F8D2}" name="Arome" dataDxfId="59"/>
    <tableColumn id="12" xr3:uid="{7F4952AF-F6BD-4F50-A424-A3D54E68F758}" name="Taux de PH" dataDxfId="58"/>
    <tableColumn id="13" xr3:uid="{B07C53E8-AC59-44AF-995A-968B77E65DDC}" name="Tolerance alcool" dataDxfId="57"/>
    <tableColumn id="14" xr3:uid="{BB99F0A8-A351-44FA-9AC2-A51F46FB2ECC}" name="propogation" dataDxfId="56"/>
    <tableColumn id="15" xr3:uid="{F4C7B426-7CA3-4511-B317-9A0A811AAD59}" name="Celulles viables" dataDxfId="55"/>
  </tableColumns>
  <tableStyleInfo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9A71F8D8-9A74-4068-8248-18000D6370DC}" name="Tableau3" displayName="Tableau3" ref="R5:Z310" totalsRowShown="0" headerRowDxfId="54" dataDxfId="53">
  <autoFilter ref="R5:Z310" xr:uid="{9A71F8D8-9A74-4068-8248-18000D6370DC}"/>
  <sortState xmlns:xlrd2="http://schemas.microsoft.com/office/spreadsheetml/2017/richdata2" ref="R6:Z310">
    <sortCondition ref="R5:R310"/>
  </sortState>
  <tableColumns count="9">
    <tableColumn id="1" xr3:uid="{EEE98AF3-83CA-49E8-8708-7BA055DB642F}" name="Variétés" dataDxfId="52"/>
    <tableColumn id="2" xr3:uid="{C51C9751-737C-4313-BD43-D68FEBA54DFC}" name="Timing" dataDxfId="51"/>
    <tableColumn id="3" xr3:uid="{20F5DF59-4D5B-4082-BECB-4E091BD2D573}" name="Forme" dataDxfId="50"/>
    <tableColumn id="4" xr3:uid="{34BF7784-AC1B-4617-B9A3-22671AC0854F}" name="Acide Aplha" dataDxfId="49"/>
    <tableColumn id="5" xr3:uid="{61AEB1B9-8BC8-4B28-939A-79F6A8B29C45}" name="Region" dataDxfId="48"/>
    <tableColumn id="6" xr3:uid="{E88A65BC-480A-4436-B4DF-44B63E7CA066}" name="Utilisation" dataDxfId="47"/>
    <tableColumn id="7" xr3:uid="{C00A67C4-B056-4442-8298-EB52789468E0}" name="Aromes" dataDxfId="46"/>
    <tableColumn id="8" xr3:uid="{76B7477A-E780-4D6C-87CB-ACF00C956592}" name="Substituts" dataDxfId="45"/>
    <tableColumn id="9" xr3:uid="{9A45B42B-C9DC-4D06-B32F-8AC543515969}" name="Stock" dataDxfId="44"/>
  </tableColumns>
  <tableStyleInfo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D472FC09-6F80-40B2-A2CC-18C838CE39F8}" name="Tableau4" displayName="Tableau4" ref="B6:AQ130" totalsRowShown="0" headerRowDxfId="43" dataDxfId="42">
  <autoFilter ref="B6:AQ130" xr:uid="{D472FC09-6F80-40B2-A2CC-18C838CE39F8}"/>
  <sortState xmlns:xlrd2="http://schemas.microsoft.com/office/spreadsheetml/2017/richdata2" ref="B7:AP130">
    <sortCondition ref="D6:D130"/>
  </sortState>
  <tableColumns count="42">
    <tableColumn id="1" xr3:uid="{1ADEB064-55D7-4FC1-A868-B6C16FB2D577}" name="Style" dataDxfId="41"/>
    <tableColumn id="41" xr3:uid="{D87E547E-2C49-46E6-BC25-5B750F0CE149}" name="Type" dataDxfId="40"/>
    <tableColumn id="2" xr3:uid="{EF5A756B-3A7E-49F4-97FB-DB2DD5EFE223}" name="Code (BJCP)" dataDxfId="39"/>
    <tableColumn id="3" xr3:uid="{6B0ACE75-7C3D-4CB2-9390-ADD7174D5A42}" name="OG min" dataDxfId="38"/>
    <tableColumn id="4" xr3:uid="{3BA8EDCB-AC63-47E0-BB18-843C9CA718B7}" name="OG max" dataDxfId="37"/>
    <tableColumn id="5" xr3:uid="{5CC97500-1F99-4211-B934-C5E382E001D0}" name="FG min" dataDxfId="36"/>
    <tableColumn id="6" xr3:uid="{2ED7AA41-CD08-4EC6-A4AF-9C19CDCF49EB}" name="FG max" dataDxfId="35"/>
    <tableColumn id="7" xr3:uid="{147D4138-DA1F-49C3-BF0B-CD167E0AB71A}" name="ABV min" dataDxfId="34"/>
    <tableColumn id="8" xr3:uid="{EEB19B2B-A1F6-4646-B93D-F1F8C4C801BA}" name="ABV max" dataDxfId="33"/>
    <tableColumn id="9" xr3:uid="{AFED6980-DDF3-4E4D-8F58-E1E045BFDB8F}" name="IBU min" dataDxfId="32"/>
    <tableColumn id="10" xr3:uid="{3A4102A7-090B-49D1-9E2D-B65977BCF3EC}" name="IBU max" dataDxfId="31"/>
    <tableColumn id="11" xr3:uid="{B98A84A8-56F9-4DFE-AF9B-57C599DB39D6}" name="EBC min" dataDxfId="30"/>
    <tableColumn id="12" xr3:uid="{C1DAF608-BB39-41AB-A23D-ADD7769DA634}" name="EBC max" dataDxfId="29"/>
    <tableColumn id="13" xr3:uid="{480C75AB-51E3-47CD-AFDF-60BA11397626}" name="SO₄/Cl min" dataDxfId="28"/>
    <tableColumn id="14" xr3:uid="{0F288889-726E-4828-83E5-5775FEC67F29}" name="SO₄/Cl max" dataDxfId="27"/>
    <tableColumn id="15" xr3:uid="{8C3A80EC-911A-400F-AA35-8774928FFAE2}" name="Cl min" dataDxfId="26"/>
    <tableColumn id="16" xr3:uid="{BFBDF0C8-2A3C-44D0-B8C3-7CF73C24D276}" name="Cl max" dataDxfId="25"/>
    <tableColumn id="17" xr3:uid="{FF1A3A22-8E7A-4CB0-85E2-6B5501A4E8AA}" name="SO4 min" dataDxfId="24"/>
    <tableColumn id="18" xr3:uid="{94E7A020-AADB-4DAE-B1DB-D6B772F0C30A}" name="SO4 max" dataDxfId="23"/>
    <tableColumn id="19" xr3:uid="{E32A011E-9F5B-4144-929A-97D41096E22E}" name="Ca min" dataDxfId="22"/>
    <tableColumn id="20" xr3:uid="{6E435AF8-855F-48A1-A1BC-A13814A955B6}" name="Ca max" dataDxfId="21"/>
    <tableColumn id="21" xr3:uid="{79ED48CD-D6A4-4E2D-9967-FDD6AC4DB3E2}" name="Mg min" dataDxfId="20"/>
    <tableColumn id="22" xr3:uid="{F65A351E-0497-444A-84A2-08AFE1BD3E31}" name="Mg max" dataDxfId="19"/>
    <tableColumn id="23" xr3:uid="{8D6EBE1D-199A-4235-A29A-B8DF24B58482}" name="Na min" dataDxfId="18"/>
    <tableColumn id="24" xr3:uid="{66E0A453-FCCF-4078-9268-E5BD457A1535}" name="Na max" dataDxfId="17"/>
    <tableColumn id="25" xr3:uid="{E1F28853-4CCE-4A1B-AF1F-2C66970F37E0}" name="HCO3 min" dataDxfId="16"/>
    <tableColumn id="26" xr3:uid="{89D339D0-C5E8-4242-AC04-50849C9D09A6}" name="HCO3 max" dataDxfId="15"/>
    <tableColumn id="27" xr3:uid="{E3547D6B-2352-4E24-BDCE-49FD2740A655}" name="pH min" dataDxfId="14"/>
    <tableColumn id="28" xr3:uid="{4E52FA07-5A12-412D-B9B4-62A5CEE2667F}" name="pH max" dataDxfId="13"/>
    <tableColumn id="29" xr3:uid="{082902D6-B35F-42AF-B760-3EB72AA44683}" name="Colonne1" dataDxfId="12"/>
    <tableColumn id="30" xr3:uid="{524A6482-4466-4ACC-BD29-5B7A8F5A935B}" name="Colonne6" dataDxfId="11"/>
    <tableColumn id="31" xr3:uid="{98459631-D331-4CC3-8F16-C54CBD461B63}" name="Colonne8" dataDxfId="10"/>
    <tableColumn id="32" xr3:uid="{D68F15D0-E672-430F-B9B1-C82A33E4418E}" name="Colonne9" dataDxfId="9"/>
    <tableColumn id="33" xr3:uid="{90B482F6-11CF-4593-8C95-2C69889AFA65}" name="Colonne10" dataDxfId="8"/>
    <tableColumn id="34" xr3:uid="{37BA9705-A879-41B9-BD90-0F8008E17E74}" name="Colonne11" dataDxfId="7"/>
    <tableColumn id="35" xr3:uid="{43CDE369-A1F1-4B22-AD5B-3EAECDC55081}" name="Colonne2" dataDxfId="6"/>
    <tableColumn id="36" xr3:uid="{16D33994-EE12-4D08-A0E9-B1BE2908B1CC}" name="Colonne3" dataDxfId="5"/>
    <tableColumn id="37" xr3:uid="{EB55C2DA-5408-4500-9A12-838935B8B056}" name="Colonne4" dataDxfId="4"/>
    <tableColumn id="38" xr3:uid="{C1572881-59BA-4CE0-8D10-D5E33FAEF76A}" name="Colonne5" dataDxfId="3"/>
    <tableColumn id="39" xr3:uid="{95F696B3-371F-4782-9812-F3B44B817B6B}" name="Colonne12" dataDxfId="2"/>
    <tableColumn id="40" xr3:uid="{266B7FF0-CD4A-4ABE-8F6D-20ABE49FE912}" name="Colonne13" dataDxfId="1"/>
    <tableColumn id="42" xr3:uid="{F6861B42-7F8E-4824-BD3D-D7C8FE368ABA}" name="Colonne7" dataDxfId="0"/>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littlebock.fr/outil-brassage/calculateur-eau-brassage" TargetMode="External"/><Relationship Id="rId1" Type="http://schemas.openxmlformats.org/officeDocument/2006/relationships/hyperlink" Target="https://www.moneaudebrassage.fr/" TargetMode="External"/><Relationship Id="rId4"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hyperlink" Target="https://www.littlebock.fr/outil-brassage/calculateur-eau-brassage" TargetMode="External"/><Relationship Id="rId1" Type="http://schemas.openxmlformats.org/officeDocument/2006/relationships/hyperlink" Target="https://www.moneaudebrassage.fr/" TargetMode="External"/></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https://www.littlebock.fr/outil-brassage/calculateur-eau-brassage" TargetMode="External"/><Relationship Id="rId1" Type="http://schemas.openxmlformats.org/officeDocument/2006/relationships/hyperlink" Target="https://www.moneaudebrassage.fr/" TargetMode="External"/><Relationship Id="rId4"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hyperlink" Target="https://www.littlebock.fr/outil-brassage/calculateur-eau-brassage" TargetMode="External"/><Relationship Id="rId1" Type="http://schemas.openxmlformats.org/officeDocument/2006/relationships/hyperlink" Target="https://www.moneaudebrassage.fr/" TargetMode="External"/></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3.bin"/><Relationship Id="rId2" Type="http://schemas.openxmlformats.org/officeDocument/2006/relationships/hyperlink" Target="https://www.littlebock.fr/outil-brassage/calculateur-eau-brassage" TargetMode="External"/><Relationship Id="rId1" Type="http://schemas.openxmlformats.org/officeDocument/2006/relationships/hyperlink" Target="https://www.moneaudebrassage.fr/" TargetMode="External"/><Relationship Id="rId4"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3" Type="http://schemas.openxmlformats.org/officeDocument/2006/relationships/printerSettings" Target="../printerSettings/printerSettings4.bin"/><Relationship Id="rId2" Type="http://schemas.openxmlformats.org/officeDocument/2006/relationships/hyperlink" Target="https://www.littlebock.fr/outil-brassage/calculateur-eau-brassage" TargetMode="External"/><Relationship Id="rId1" Type="http://schemas.openxmlformats.org/officeDocument/2006/relationships/hyperlink" Target="https://www.moneaudebrassage.fr/" TargetMode="External"/><Relationship Id="rId4"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littlebock.fr/outil-brassage/calculateur-eau-brassage" TargetMode="External"/><Relationship Id="rId1" Type="http://schemas.openxmlformats.org/officeDocument/2006/relationships/hyperlink" Target="https://www.moneaudebrassage.fr/" TargetMode="External"/><Relationship Id="rId6" Type="http://schemas.openxmlformats.org/officeDocument/2006/relationships/comments" Target="../comments1.xml"/><Relationship Id="rId5" Type="http://schemas.openxmlformats.org/officeDocument/2006/relationships/vmlDrawing" Target="../drawings/vmlDrawing1.vml"/><Relationship Id="rId4"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3" Type="http://schemas.openxmlformats.org/officeDocument/2006/relationships/printerSettings" Target="../printerSettings/printerSettings6.bin"/><Relationship Id="rId2" Type="http://schemas.openxmlformats.org/officeDocument/2006/relationships/hyperlink" Target="https://www.littlebock.fr/outil-brassage/calculateur-eau-brassage" TargetMode="External"/><Relationship Id="rId1" Type="http://schemas.openxmlformats.org/officeDocument/2006/relationships/hyperlink" Target="https://www.moneaudebrassage.fr/" TargetMode="External"/><Relationship Id="rId4"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3" Type="http://schemas.openxmlformats.org/officeDocument/2006/relationships/printerSettings" Target="../printerSettings/printerSettings7.bin"/><Relationship Id="rId2" Type="http://schemas.openxmlformats.org/officeDocument/2006/relationships/hyperlink" Target="https://www.littlebock.fr/outil-brassage/calculateur-eau-brassage" TargetMode="External"/><Relationship Id="rId1" Type="http://schemas.openxmlformats.org/officeDocument/2006/relationships/hyperlink" Target="https://www.moneaudebrassage.fr/" TargetMode="External"/><Relationship Id="rId6" Type="http://schemas.openxmlformats.org/officeDocument/2006/relationships/comments" Target="../comments2.xml"/><Relationship Id="rId5" Type="http://schemas.openxmlformats.org/officeDocument/2006/relationships/vmlDrawing" Target="../drawings/vmlDrawing2.vml"/><Relationship Id="rId4"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3" Type="http://schemas.openxmlformats.org/officeDocument/2006/relationships/printerSettings" Target="../printerSettings/printerSettings8.bin"/><Relationship Id="rId2" Type="http://schemas.openxmlformats.org/officeDocument/2006/relationships/hyperlink" Target="https://www.littlebock.fr/outil-brassage/calculateur-eau-brassage" TargetMode="External"/><Relationship Id="rId1" Type="http://schemas.openxmlformats.org/officeDocument/2006/relationships/hyperlink" Target="https://www.moneaudebrassage.fr/" TargetMode="External"/><Relationship Id="rId6" Type="http://schemas.openxmlformats.org/officeDocument/2006/relationships/comments" Target="../comments3.xml"/><Relationship Id="rId5" Type="http://schemas.openxmlformats.org/officeDocument/2006/relationships/vmlDrawing" Target="../drawings/vmlDrawing3.vml"/><Relationship Id="rId4"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3" Type="http://schemas.openxmlformats.org/officeDocument/2006/relationships/printerSettings" Target="../printerSettings/printerSettings9.bin"/><Relationship Id="rId2" Type="http://schemas.openxmlformats.org/officeDocument/2006/relationships/hyperlink" Target="https://www.littlebock.fr/outil-brassage/calculateur-eau-brassage" TargetMode="External"/><Relationship Id="rId1" Type="http://schemas.openxmlformats.org/officeDocument/2006/relationships/hyperlink" Target="https://www.moneaudebrassage.fr/" TargetMode="External"/><Relationship Id="rId6" Type="http://schemas.openxmlformats.org/officeDocument/2006/relationships/comments" Target="../comments4.xml"/><Relationship Id="rId5" Type="http://schemas.openxmlformats.org/officeDocument/2006/relationships/vmlDrawing" Target="../drawings/vmlDrawing4.vml"/><Relationship Id="rId4"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8" Type="http://schemas.openxmlformats.org/officeDocument/2006/relationships/hyperlink" Target="https://www.brassageamateur.com/wiki/Guide_de_styles_BJCP_2021/33A._Wood-Aged_Beer" TargetMode="External"/><Relationship Id="rId13" Type="http://schemas.openxmlformats.org/officeDocument/2006/relationships/hyperlink" Target="https://www.brassageamateur.com/wiki/Guide_de_styles_BJCP_2021/30B._Biere_d%E2%80%99Automne" TargetMode="External"/><Relationship Id="rId18" Type="http://schemas.openxmlformats.org/officeDocument/2006/relationships/hyperlink" Target="https://www.brassageamateur.com/wiki/Guide_de_styles_BJCP_2021/32A._Biere_Fumee_Classique" TargetMode="External"/><Relationship Id="rId26" Type="http://schemas.openxmlformats.org/officeDocument/2006/relationships/hyperlink" Target="https://www.autobrasseur.fr/malts-et-flocons/587-malt-smoked-fume-412-ebc.html" TargetMode="External"/><Relationship Id="rId3" Type="http://schemas.openxmlformats.org/officeDocument/2006/relationships/hyperlink" Target="https://www.brassageamateur.com/wiki/Guide_de_styles_BJCP_2021/30D._Biere_Sp%C3%A9ciale_aux_Epices" TargetMode="External"/><Relationship Id="rId21" Type="http://schemas.openxmlformats.org/officeDocument/2006/relationships/hyperlink" Target="https://www.brassageamateur.com/wiki/Guide_de_styles_BJCP_2021/33A._Specialty_Wood-Aged_Beer" TargetMode="External"/><Relationship Id="rId7" Type="http://schemas.openxmlformats.org/officeDocument/2006/relationships/hyperlink" Target="https://www.brassageamateur.com/wiki/Guide_de_styles_BJCP_2021/32A._Biere_Fumee_Speciale" TargetMode="External"/><Relationship Id="rId12" Type="http://schemas.openxmlformats.org/officeDocument/2006/relationships/hyperlink" Target="https://www.brassageamateur.com/wiki/Guide_de_styles_BJCP_2021/34C._Experimental_Beer" TargetMode="External"/><Relationship Id="rId17" Type="http://schemas.openxmlformats.org/officeDocument/2006/relationships/hyperlink" Target="https://www.brassageamateur.com/wiki/Guide_de_styles_BJCP_2021/31B._Biere_aux_Sucres_Alternatifs" TargetMode="External"/><Relationship Id="rId25" Type="http://schemas.openxmlformats.org/officeDocument/2006/relationships/hyperlink" Target="https://www.autobrasseur.fr/malts-et-flocons/588-malt-acide-6-12-ebc.html" TargetMode="External"/><Relationship Id="rId2" Type="http://schemas.openxmlformats.org/officeDocument/2006/relationships/hyperlink" Target="https://www.brassageamateur.com/wiki/Guide_de_styles_BJCP_2021/30C._Winter_Beer" TargetMode="External"/><Relationship Id="rId16" Type="http://schemas.openxmlformats.org/officeDocument/2006/relationships/hyperlink" Target="https://www.brassageamateur.com/wiki/Guide_de_styles_BJCP_2021/31A._Biere_aux_Cereales_Alternatives" TargetMode="External"/><Relationship Id="rId20" Type="http://schemas.openxmlformats.org/officeDocument/2006/relationships/hyperlink" Target="https://www.brassageamateur.com/wiki/Guide_de_styles_BJCP_2021/33A._Wood-Aged_Beer" TargetMode="External"/><Relationship Id="rId29" Type="http://schemas.openxmlformats.org/officeDocument/2006/relationships/vmlDrawing" Target="../drawings/vmlDrawing5.vml"/><Relationship Id="rId1" Type="http://schemas.openxmlformats.org/officeDocument/2006/relationships/hyperlink" Target="https://www.brassageamateur.com/wiki/Guide_de_styles_BJCP_2021/30B._Biere_d%E2%80%99Automne" TargetMode="External"/><Relationship Id="rId6" Type="http://schemas.openxmlformats.org/officeDocument/2006/relationships/hyperlink" Target="https://www.brassageamateur.com/wiki/Guide_de_styles_BJCP_2021/32A._Biere_Fumee_Classique" TargetMode="External"/><Relationship Id="rId11" Type="http://schemas.openxmlformats.org/officeDocument/2006/relationships/hyperlink" Target="https://www.brassageamateur.com/wiki/Guide_de_styles_BJCP_2021/34B._Mixed-Style_Beer" TargetMode="External"/><Relationship Id="rId24" Type="http://schemas.openxmlformats.org/officeDocument/2006/relationships/hyperlink" Target="https://www.brassageamateur.com/wiki/Guide_de_styles_BJCP_2021/34C._Experimental_Beer" TargetMode="External"/><Relationship Id="rId32" Type="http://schemas.openxmlformats.org/officeDocument/2006/relationships/comments" Target="../comments5.xml"/><Relationship Id="rId5" Type="http://schemas.openxmlformats.org/officeDocument/2006/relationships/hyperlink" Target="https://www.brassageamateur.com/wiki/Guide_de_styles_BJCP_2021/31B._Biere_aux_Sucres_Alternatifs" TargetMode="External"/><Relationship Id="rId15" Type="http://schemas.openxmlformats.org/officeDocument/2006/relationships/hyperlink" Target="https://www.brassageamateur.com/wiki/Guide_de_styles_BJCP_2021/30D._Biere_Sp%C3%A9ciale_aux_Epices" TargetMode="External"/><Relationship Id="rId23" Type="http://schemas.openxmlformats.org/officeDocument/2006/relationships/hyperlink" Target="https://www.brassageamateur.com/wiki/Guide_de_styles_BJCP_2021/34B._Mixed-Style_Beer" TargetMode="External"/><Relationship Id="rId28" Type="http://schemas.openxmlformats.org/officeDocument/2006/relationships/drawing" Target="../drawings/drawing13.xml"/><Relationship Id="rId10" Type="http://schemas.openxmlformats.org/officeDocument/2006/relationships/hyperlink" Target="https://www.brassageamateur.com/wiki/Guide_de_styles_BJCP_2021/34A._Commercial_Specialty_Beer" TargetMode="External"/><Relationship Id="rId19" Type="http://schemas.openxmlformats.org/officeDocument/2006/relationships/hyperlink" Target="https://www.brassageamateur.com/wiki/Guide_de_styles_BJCP_2021/32A._Biere_Fumee_Speciale" TargetMode="External"/><Relationship Id="rId31" Type="http://schemas.openxmlformats.org/officeDocument/2006/relationships/table" Target="../tables/table2.xml"/><Relationship Id="rId4" Type="http://schemas.openxmlformats.org/officeDocument/2006/relationships/hyperlink" Target="https://www.brassageamateur.com/wiki/Guide_de_styles_BJCP_2021/31A._Biere_aux_Cereales_Alternatives" TargetMode="External"/><Relationship Id="rId9" Type="http://schemas.openxmlformats.org/officeDocument/2006/relationships/hyperlink" Target="https://www.brassageamateur.com/wiki/Guide_de_styles_BJCP_2021/33A._Specialty_Wood-Aged_Beer" TargetMode="External"/><Relationship Id="rId14" Type="http://schemas.openxmlformats.org/officeDocument/2006/relationships/hyperlink" Target="https://www.brassageamateur.com/wiki/Guide_de_styles_BJCP_2021/30C._Winter_Beer" TargetMode="External"/><Relationship Id="rId22" Type="http://schemas.openxmlformats.org/officeDocument/2006/relationships/hyperlink" Target="https://www.brassageamateur.com/wiki/Guide_de_styles_BJCP_2021/34A._Commercial_Specialty_Beer" TargetMode="External"/><Relationship Id="rId27" Type="http://schemas.openxmlformats.org/officeDocument/2006/relationships/printerSettings" Target="../printerSettings/printerSettings10.bin"/><Relationship Id="rId30" Type="http://schemas.openxmlformats.org/officeDocument/2006/relationships/table" Target="../tables/table1.xml"/></Relationships>
</file>

<file path=xl/worksheets/_rels/sheet14.xml.rels><?xml version="1.0" encoding="UTF-8" standalone="yes"?>
<Relationships xmlns="http://schemas.openxmlformats.org/package/2006/relationships"><Relationship Id="rId3" Type="http://schemas.openxmlformats.org/officeDocument/2006/relationships/table" Target="../tables/table3.xml"/><Relationship Id="rId2" Type="http://schemas.openxmlformats.org/officeDocument/2006/relationships/vmlDrawing" Target="../drawings/vmlDrawing6.vml"/><Relationship Id="rId1" Type="http://schemas.openxmlformats.org/officeDocument/2006/relationships/drawing" Target="../drawings/drawing14.xml"/><Relationship Id="rId4" Type="http://schemas.openxmlformats.org/officeDocument/2006/relationships/comments" Target="../comments6.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058285-ED77-47C2-8298-86B4F55F0E6A}">
  <dimension ref="A1"/>
  <sheetViews>
    <sheetView tabSelected="1" workbookViewId="0">
      <selection activeCell="N3" sqref="N3"/>
    </sheetView>
  </sheetViews>
  <sheetFormatPr baseColWidth="10" defaultRowHeight="15"/>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A4B5FA-FE39-429C-A31C-544C4D3D4744}">
  <dimension ref="A1:X75"/>
  <sheetViews>
    <sheetView zoomScale="90" zoomScaleNormal="90" workbookViewId="0">
      <selection activeCell="T32" sqref="T32"/>
    </sheetView>
  </sheetViews>
  <sheetFormatPr baseColWidth="10" defaultColWidth="8.7109375" defaultRowHeight="15"/>
  <cols>
    <col min="1" max="1" width="10.5703125" bestFit="1" customWidth="1"/>
    <col min="2" max="2" width="18" bestFit="1" customWidth="1"/>
    <col min="3" max="3" width="9" bestFit="1" customWidth="1"/>
    <col min="5" max="5" width="9.5703125" bestFit="1" customWidth="1"/>
    <col min="7" max="7" width="10.140625" bestFit="1" customWidth="1"/>
    <col min="8" max="8" width="2.85546875" customWidth="1"/>
    <col min="9" max="9" width="11.42578125" customWidth="1"/>
    <col min="11" max="11" width="16.42578125" customWidth="1"/>
    <col min="12" max="12" width="9.5703125" customWidth="1"/>
    <col min="14" max="14" width="10.140625" bestFit="1" customWidth="1"/>
    <col min="15" max="15" width="9.28515625" customWidth="1"/>
    <col min="17" max="17" width="10.42578125" customWidth="1"/>
    <col min="18" max="18" width="10.42578125" bestFit="1" customWidth="1"/>
    <col min="19" max="19" width="14" bestFit="1" customWidth="1"/>
    <col min="22" max="22" width="11.42578125" bestFit="1" customWidth="1"/>
    <col min="23" max="23" width="9.5703125" customWidth="1"/>
  </cols>
  <sheetData>
    <row r="1" spans="1:24" ht="30.75" thickBot="1">
      <c r="A1" s="758" t="s">
        <v>1830</v>
      </c>
      <c r="B1" s="759"/>
      <c r="C1" s="759"/>
      <c r="D1" s="759"/>
      <c r="E1" s="759"/>
      <c r="F1" s="759"/>
      <c r="G1" s="760"/>
      <c r="H1" s="353"/>
      <c r="I1" s="761" t="s">
        <v>665</v>
      </c>
      <c r="J1" s="762"/>
      <c r="K1" s="762"/>
      <c r="L1" s="762"/>
      <c r="M1" s="762"/>
      <c r="N1" s="762"/>
      <c r="O1" s="763"/>
      <c r="R1" s="346"/>
      <c r="S1" s="346"/>
      <c r="T1" s="346"/>
      <c r="U1" s="346"/>
      <c r="V1" s="346"/>
      <c r="W1" s="346"/>
    </row>
    <row r="2" spans="1:24" ht="36" customHeight="1" thickBot="1">
      <c r="A2" s="764" t="s">
        <v>1831</v>
      </c>
      <c r="B2" s="764"/>
      <c r="C2" s="764"/>
      <c r="D2" s="764"/>
      <c r="E2" s="764"/>
      <c r="F2" s="764"/>
      <c r="G2" s="764"/>
      <c r="H2" s="354"/>
      <c r="I2" s="765"/>
      <c r="J2" s="766"/>
      <c r="K2" s="766"/>
      <c r="L2" s="766"/>
      <c r="M2" s="766"/>
      <c r="N2" s="766"/>
      <c r="O2" s="766"/>
    </row>
    <row r="3" spans="1:24" ht="14.45" customHeight="1">
      <c r="A3" s="142" t="s">
        <v>601</v>
      </c>
      <c r="B3" s="767" t="s">
        <v>1829</v>
      </c>
      <c r="C3" s="768"/>
      <c r="D3" s="769" t="s">
        <v>602</v>
      </c>
      <c r="E3" s="770"/>
      <c r="F3" s="770"/>
      <c r="G3" s="771"/>
      <c r="H3" s="355"/>
      <c r="I3" s="772" t="s">
        <v>615</v>
      </c>
      <c r="J3" s="773"/>
      <c r="K3" s="778" t="s">
        <v>616</v>
      </c>
      <c r="L3" s="779"/>
      <c r="M3" s="780"/>
      <c r="N3" s="172">
        <v>21</v>
      </c>
      <c r="O3" s="173">
        <v>71</v>
      </c>
      <c r="Q3" s="744" t="s">
        <v>624</v>
      </c>
      <c r="R3" s="47" t="s">
        <v>871</v>
      </c>
      <c r="S3" s="47" t="s">
        <v>873</v>
      </c>
      <c r="T3" s="47" t="s">
        <v>875</v>
      </c>
      <c r="U3" s="47" t="s">
        <v>877</v>
      </c>
      <c r="V3" s="47" t="s">
        <v>879</v>
      </c>
      <c r="W3" s="47" t="s">
        <v>881</v>
      </c>
      <c r="X3" s="47" t="s">
        <v>23</v>
      </c>
    </row>
    <row r="4" spans="1:24" ht="14.45" customHeight="1">
      <c r="A4" s="143" t="s">
        <v>603</v>
      </c>
      <c r="B4" s="747">
        <v>20</v>
      </c>
      <c r="C4" s="748"/>
      <c r="D4" s="37" t="s">
        <v>604</v>
      </c>
      <c r="E4" s="134">
        <v>1.0529999999999999</v>
      </c>
      <c r="F4" s="37" t="s">
        <v>612</v>
      </c>
      <c r="G4" s="144">
        <f>(76.08*(E4-E5)/(1.775-E4))*(E5/0.794)</f>
        <v>5.5065193940704766</v>
      </c>
      <c r="H4" s="356"/>
      <c r="I4" s="774"/>
      <c r="J4" s="775"/>
      <c r="K4" s="314" t="s">
        <v>911</v>
      </c>
      <c r="L4" s="312">
        <v>5.2</v>
      </c>
      <c r="M4" s="313">
        <v>5.6</v>
      </c>
      <c r="N4" s="27">
        <v>79</v>
      </c>
      <c r="O4" s="174"/>
      <c r="Q4" s="745"/>
      <c r="R4" s="307" t="s">
        <v>872</v>
      </c>
      <c r="S4" s="307" t="s">
        <v>874</v>
      </c>
      <c r="T4" s="307" t="s">
        <v>876</v>
      </c>
      <c r="U4" s="307" t="s">
        <v>878</v>
      </c>
      <c r="V4" s="307" t="s">
        <v>880</v>
      </c>
      <c r="W4" s="307" t="s">
        <v>882</v>
      </c>
      <c r="X4" s="47"/>
    </row>
    <row r="5" spans="1:24" ht="14.45" customHeight="1">
      <c r="A5" s="143" t="s">
        <v>605</v>
      </c>
      <c r="B5" s="749" t="s">
        <v>1832</v>
      </c>
      <c r="C5" s="750"/>
      <c r="D5" s="37" t="s">
        <v>606</v>
      </c>
      <c r="E5" s="134">
        <v>1.012</v>
      </c>
      <c r="F5" s="37" t="s">
        <v>614</v>
      </c>
      <c r="G5" s="258">
        <v>2.5</v>
      </c>
      <c r="H5" s="357"/>
      <c r="I5" s="774"/>
      <c r="J5" s="775"/>
      <c r="K5" s="751" t="s">
        <v>622</v>
      </c>
      <c r="L5" s="121" t="s">
        <v>609</v>
      </c>
      <c r="M5" s="36">
        <v>66</v>
      </c>
      <c r="N5" s="27">
        <v>70</v>
      </c>
      <c r="O5" s="174"/>
      <c r="Q5" s="745"/>
      <c r="R5" s="318">
        <v>33</v>
      </c>
      <c r="S5" s="318">
        <v>60</v>
      </c>
      <c r="T5" s="318">
        <v>63</v>
      </c>
      <c r="U5" s="318">
        <v>26</v>
      </c>
      <c r="V5" s="318">
        <v>99</v>
      </c>
      <c r="W5" s="318">
        <v>493</v>
      </c>
      <c r="X5" s="29">
        <v>7.3</v>
      </c>
    </row>
    <row r="6" spans="1:24" ht="14.45" customHeight="1">
      <c r="A6" s="143"/>
      <c r="B6" s="749"/>
      <c r="C6" s="750"/>
      <c r="D6" s="37" t="s">
        <v>608</v>
      </c>
      <c r="E6" s="135">
        <f>C20</f>
        <v>13.256552307327313</v>
      </c>
      <c r="F6" s="37" t="s">
        <v>618</v>
      </c>
      <c r="G6" s="144">
        <f>E7/((E4-1)*1000)</f>
        <v>0.49642541311590682</v>
      </c>
      <c r="H6" s="356"/>
      <c r="I6" s="774"/>
      <c r="J6" s="775"/>
      <c r="K6" s="752"/>
      <c r="L6" s="121" t="s">
        <v>611</v>
      </c>
      <c r="M6" s="36" t="s">
        <v>623</v>
      </c>
      <c r="N6" s="27" t="s">
        <v>623</v>
      </c>
      <c r="O6" s="174"/>
      <c r="Q6" s="746"/>
      <c r="R6" s="946" t="s">
        <v>1839</v>
      </c>
      <c r="S6" s="947"/>
      <c r="T6" s="947"/>
      <c r="U6" s="947"/>
      <c r="V6" s="947"/>
      <c r="W6" s="947"/>
      <c r="X6" s="948"/>
    </row>
    <row r="7" spans="1:24" ht="15.75" customHeight="1" thickBot="1">
      <c r="A7" s="754" t="s">
        <v>607</v>
      </c>
      <c r="B7" s="755"/>
      <c r="C7" s="206">
        <f>N17</f>
        <v>0.95352592592592678</v>
      </c>
      <c r="D7" s="145" t="s">
        <v>610</v>
      </c>
      <c r="E7" s="215">
        <f>G44</f>
        <v>26.31054689514303</v>
      </c>
      <c r="F7" s="146" t="s">
        <v>621</v>
      </c>
      <c r="G7" s="147">
        <f>E7/(0.1808*(259-(259/E4))+(0.8192*(259-(259/E5))))</f>
        <v>5.3994635235108719</v>
      </c>
      <c r="H7" s="358"/>
      <c r="I7" s="774"/>
      <c r="J7" s="775"/>
      <c r="K7" s="752"/>
      <c r="L7" s="121" t="s">
        <v>613</v>
      </c>
      <c r="M7" s="36" t="s">
        <v>623</v>
      </c>
      <c r="N7" s="27" t="s">
        <v>623</v>
      </c>
      <c r="O7" s="174"/>
      <c r="Q7" s="756" t="s">
        <v>917</v>
      </c>
      <c r="R7" s="949" t="s">
        <v>1027</v>
      </c>
      <c r="S7" s="950"/>
      <c r="T7" s="950"/>
      <c r="U7" s="950"/>
      <c r="V7" s="950"/>
      <c r="W7" s="951"/>
      <c r="X7" s="321"/>
    </row>
    <row r="8" spans="1:24" ht="15.75" customHeight="1" thickBot="1">
      <c r="A8" s="355"/>
      <c r="B8" s="367"/>
      <c r="C8" s="368"/>
      <c r="D8" s="352"/>
      <c r="E8" s="352"/>
      <c r="F8" s="359"/>
      <c r="G8" s="359"/>
      <c r="H8" s="359"/>
      <c r="I8" s="774"/>
      <c r="J8" s="775"/>
      <c r="K8" s="752"/>
      <c r="L8" s="121" t="s">
        <v>617</v>
      </c>
      <c r="M8" s="36">
        <v>75</v>
      </c>
      <c r="N8" s="27">
        <v>10</v>
      </c>
      <c r="O8" s="174"/>
      <c r="Q8" s="757"/>
      <c r="R8" s="320">
        <f>VLOOKUP(R7,INGREDIENTS!$BD$8:$CA$185,2,FALSE)</f>
        <v>0</v>
      </c>
      <c r="S8" s="320">
        <f>VLOOKUP($R$7,INGREDIENTS!$BD$8:$CA$185,5,FALSE)</f>
        <v>0</v>
      </c>
      <c r="T8" s="320">
        <f>VLOOKUP($R$7,INGREDIENTS!$BD$8:$CA$185,8,FALSE)</f>
        <v>0</v>
      </c>
      <c r="U8" s="320">
        <f>VLOOKUP($R$7,INGREDIENTS!$BD$8:$CA$185,11,FALSE)</f>
        <v>0</v>
      </c>
      <c r="V8" s="320">
        <f>VLOOKUP($R$7,INGREDIENTS!$BD$8:$CA$185,14,FALSE)</f>
        <v>0</v>
      </c>
      <c r="W8" s="320">
        <f>VLOOKUP($R$7,INGREDIENTS!$BD$8:$CA$185,17,FALSE)</f>
        <v>0</v>
      </c>
      <c r="X8" s="322"/>
    </row>
    <row r="9" spans="1:24" ht="17.45" customHeight="1" thickBot="1">
      <c r="A9" s="781" t="s">
        <v>634</v>
      </c>
      <c r="B9" s="148" t="s">
        <v>1</v>
      </c>
      <c r="C9" s="148" t="s">
        <v>2</v>
      </c>
      <c r="D9" s="148" t="s">
        <v>632</v>
      </c>
      <c r="E9" s="148" t="s">
        <v>23</v>
      </c>
      <c r="F9" s="148" t="s">
        <v>633</v>
      </c>
      <c r="G9" s="149" t="s">
        <v>666</v>
      </c>
      <c r="H9" s="355"/>
      <c r="I9" s="776"/>
      <c r="J9" s="777"/>
      <c r="K9" s="753"/>
      <c r="L9" s="175" t="s">
        <v>620</v>
      </c>
      <c r="M9" s="176">
        <v>67</v>
      </c>
      <c r="N9" s="177">
        <f>SUM(N5:N7)</f>
        <v>70</v>
      </c>
      <c r="O9" s="178"/>
      <c r="Q9" s="757"/>
      <c r="R9" s="320">
        <f>VLOOKUP(R7,INGREDIENTS!$BD$8:$CA$185,3,FALSE)</f>
        <v>0</v>
      </c>
      <c r="S9" s="320">
        <f>VLOOKUP($R$7,INGREDIENTS!$BD$8:$CA$185,6,FALSE)</f>
        <v>0</v>
      </c>
      <c r="T9" s="320">
        <f>VLOOKUP($R$7,INGREDIENTS!$BD$8:$CA$185,9,FALSE)</f>
        <v>0</v>
      </c>
      <c r="U9" s="320">
        <f>VLOOKUP($R$7,INGREDIENTS!$BD$8:$CA$185,12,FALSE)</f>
        <v>0</v>
      </c>
      <c r="V9" s="320">
        <f>VLOOKUP($R$7,INGREDIENTS!$BD$8:$CA$185,15,FALSE)</f>
        <v>0</v>
      </c>
      <c r="W9" s="320">
        <f>VLOOKUP($R$7,INGREDIENTS!$BD$8:$CA$185,18,FALSE)</f>
        <v>0</v>
      </c>
      <c r="X9" s="308"/>
    </row>
    <row r="10" spans="1:24" ht="15.75" customHeight="1" thickBot="1">
      <c r="A10" s="782"/>
      <c r="B10" s="32" t="s">
        <v>19</v>
      </c>
      <c r="C10" s="237">
        <f>IFERROR(VLOOKUP(B10,INGREDIENTS!$A$6:$E$38,3,FALSE),"")</f>
        <v>8.5</v>
      </c>
      <c r="D10" s="34">
        <f>IFERROR(VLOOKUP(B10,INGREDIENTS!$A$6:$E$38,2,FALSE),"")</f>
        <v>0.81</v>
      </c>
      <c r="E10" s="35">
        <f>IFERROR(VLOOKUP(B10,INGREDIENTS!$A$6:$E$38,5,FALSE),"")</f>
        <v>5.7</v>
      </c>
      <c r="F10" s="26">
        <v>6000</v>
      </c>
      <c r="G10" s="150">
        <f t="shared" ref="G10:G18" si="0">F10/$F$20</f>
        <v>1</v>
      </c>
      <c r="H10" s="360"/>
      <c r="I10" s="784" t="s">
        <v>714</v>
      </c>
      <c r="J10" s="784"/>
      <c r="K10" s="785" t="s">
        <v>1838</v>
      </c>
      <c r="L10" s="785"/>
      <c r="M10" s="785"/>
      <c r="N10" s="785"/>
      <c r="O10" s="785"/>
    </row>
    <row r="11" spans="1:24" ht="18.75">
      <c r="A11" s="782"/>
      <c r="B11" s="32"/>
      <c r="C11" s="237" t="str">
        <f>IFERROR(VLOOKUP(B11,INGREDIENTS!$A$6:$E$38,3,FALSE),"")</f>
        <v/>
      </c>
      <c r="D11" s="34" t="str">
        <f>IFERROR(VLOOKUP(B11,INGREDIENTS!$A$6:$E$38,2,FALSE),"")</f>
        <v/>
      </c>
      <c r="E11" s="35" t="str">
        <f>IFERROR(VLOOKUP(B11,INGREDIENTS!$A$6:$E$38,5,FALSE),"")</f>
        <v/>
      </c>
      <c r="F11" s="26"/>
      <c r="G11" s="150">
        <f t="shared" si="0"/>
        <v>0</v>
      </c>
      <c r="H11" s="360"/>
      <c r="I11" s="786" t="s">
        <v>626</v>
      </c>
      <c r="J11" s="787"/>
      <c r="K11" s="790" t="s">
        <v>627</v>
      </c>
      <c r="L11" s="792">
        <v>18.2</v>
      </c>
      <c r="M11" s="793"/>
      <c r="N11" s="794" t="s">
        <v>23</v>
      </c>
      <c r="O11" s="796"/>
      <c r="Q11" s="798" t="s">
        <v>682</v>
      </c>
      <c r="R11" s="798"/>
    </row>
    <row r="12" spans="1:24" ht="15.75" thickBot="1">
      <c r="A12" s="782"/>
      <c r="B12" s="32"/>
      <c r="C12" s="237" t="str">
        <f>IFERROR(VLOOKUP(B12,INGREDIENTS!$A$6:$E$38,3,FALSE),"")</f>
        <v/>
      </c>
      <c r="D12" s="34" t="str">
        <f>IFERROR(VLOOKUP(B12,INGREDIENTS!$A$6:$E$38,2,FALSE),"")</f>
        <v/>
      </c>
      <c r="E12" s="35" t="str">
        <f>IFERROR(VLOOKUP(B12,INGREDIENTS!$A$6:$E$38,5,FALSE),"")</f>
        <v/>
      </c>
      <c r="F12" s="26"/>
      <c r="G12" s="150">
        <f t="shared" si="0"/>
        <v>0</v>
      </c>
      <c r="H12" s="360"/>
      <c r="I12" s="788"/>
      <c r="J12" s="789"/>
      <c r="K12" s="791"/>
      <c r="L12" s="799">
        <v>78</v>
      </c>
      <c r="M12" s="800"/>
      <c r="N12" s="795"/>
      <c r="O12" s="797"/>
      <c r="Q12" s="304" t="s">
        <v>870</v>
      </c>
    </row>
    <row r="13" spans="1:24" ht="14.45" customHeight="1" thickBot="1">
      <c r="A13" s="782"/>
      <c r="B13" s="32"/>
      <c r="C13" s="237" t="str">
        <f>IFERROR(VLOOKUP(B13,INGREDIENTS!$A$6:$E$38,3,FALSE),"")</f>
        <v/>
      </c>
      <c r="D13" s="34" t="str">
        <f>IFERROR(VLOOKUP(B13,INGREDIENTS!$A$6:$E$38,2,FALSE),"")</f>
        <v/>
      </c>
      <c r="E13" s="35" t="str">
        <f>IFERROR(VLOOKUP(B13,INGREDIENTS!$A$6:$E$38,5,FALSE),"")</f>
        <v/>
      </c>
      <c r="F13" s="26"/>
      <c r="G13" s="150">
        <f t="shared" si="0"/>
        <v>0</v>
      </c>
      <c r="H13" s="360"/>
      <c r="I13" s="801" t="s">
        <v>714</v>
      </c>
      <c r="J13" s="801"/>
      <c r="K13" s="261" t="s">
        <v>1861</v>
      </c>
      <c r="L13" s="30"/>
      <c r="M13" s="31"/>
      <c r="N13" s="31"/>
      <c r="O13" s="28"/>
      <c r="Q13" s="304" t="s">
        <v>908</v>
      </c>
    </row>
    <row r="14" spans="1:24" ht="14.45" customHeight="1">
      <c r="A14" s="782"/>
      <c r="B14" s="32"/>
      <c r="C14" s="237" t="str">
        <f>IFERROR(VLOOKUP(B14,INGREDIENTS!$A$6:$E$38,3,FALSE),"")</f>
        <v/>
      </c>
      <c r="D14" s="34" t="str">
        <f>IFERROR(VLOOKUP(B14,INGREDIENTS!$A$6:$E$38,2,FALSE),"")</f>
        <v/>
      </c>
      <c r="E14" s="35" t="str">
        <f>IFERROR(VLOOKUP(B14,INGREDIENTS!$A$6:$E$38,5,FALSE),"")</f>
        <v/>
      </c>
      <c r="F14" s="26"/>
      <c r="G14" s="150">
        <f t="shared" si="0"/>
        <v>0</v>
      </c>
      <c r="H14" s="360"/>
      <c r="I14" s="802" t="s">
        <v>628</v>
      </c>
      <c r="J14" s="803"/>
      <c r="K14" s="205"/>
      <c r="L14" s="808" t="s">
        <v>737</v>
      </c>
      <c r="M14" s="809"/>
      <c r="N14" s="808" t="s">
        <v>630</v>
      </c>
      <c r="O14" s="810"/>
    </row>
    <row r="15" spans="1:24" ht="17.100000000000001" customHeight="1">
      <c r="A15" s="782"/>
      <c r="B15" s="32"/>
      <c r="C15" s="237" t="str">
        <f>IFERROR(VLOOKUP(B15,INGREDIENTS!$A$6:$E$38,3,FALSE),"")</f>
        <v/>
      </c>
      <c r="D15" s="34" t="str">
        <f>IFERROR(VLOOKUP(B15,INGREDIENTS!$A$6:$E$38,2,FALSE),"")</f>
        <v/>
      </c>
      <c r="E15" s="35" t="str">
        <f>IFERROR(VLOOKUP(B15,INGREDIENTS!$A$6:$E$38,5,FALSE),"")</f>
        <v/>
      </c>
      <c r="F15" s="26"/>
      <c r="G15" s="150">
        <f t="shared" si="0"/>
        <v>0</v>
      </c>
      <c r="H15" s="360"/>
      <c r="I15" s="804"/>
      <c r="J15" s="805"/>
      <c r="K15" s="38" t="s">
        <v>631</v>
      </c>
      <c r="L15" s="811">
        <v>1.05</v>
      </c>
      <c r="M15" s="812"/>
      <c r="N15" s="813">
        <v>1.06</v>
      </c>
      <c r="O15" s="814"/>
    </row>
    <row r="16" spans="1:24" ht="17.100000000000001" customHeight="1" thickBot="1">
      <c r="A16" s="783"/>
      <c r="B16" s="32"/>
      <c r="C16" s="237" t="str">
        <f>IFERROR(VLOOKUP(B16,INGREDIENTS!$A$6:$E$38,3,FALSE),"")</f>
        <v/>
      </c>
      <c r="D16" s="34" t="str">
        <f>IFERROR(VLOOKUP(B16,INGREDIENTS!$A$6:$E$38,2,FALSE),"")</f>
        <v/>
      </c>
      <c r="E16" s="35" t="str">
        <f>IFERROR(VLOOKUP(B16,INGREDIENTS!$A$6:$E$38,5,FALSE),"")</f>
        <v/>
      </c>
      <c r="F16" s="43"/>
      <c r="G16" s="150">
        <f t="shared" si="0"/>
        <v>0</v>
      </c>
      <c r="H16" s="360"/>
      <c r="I16" s="804"/>
      <c r="J16" s="805"/>
      <c r="K16" s="38" t="s">
        <v>603</v>
      </c>
      <c r="L16" s="815">
        <v>30</v>
      </c>
      <c r="M16" s="816"/>
      <c r="N16" s="817">
        <v>30</v>
      </c>
      <c r="O16" s="818"/>
    </row>
    <row r="17" spans="1:24" ht="17.100000000000001" customHeight="1" thickTop="1" thickBot="1">
      <c r="A17" s="832" t="s">
        <v>637</v>
      </c>
      <c r="B17" s="116"/>
      <c r="C17" s="238" t="str">
        <f>IFERROR(VLOOKUP(B17,INGREDIENTS!$I$6:$L$24,3,FALSE),"")</f>
        <v/>
      </c>
      <c r="D17" s="241" t="str">
        <f>IFERROR(VLOOKUP(B17,INGREDIENTS!$I$6:$L$24,2,FALSE),"")</f>
        <v/>
      </c>
      <c r="E17" s="117" t="str">
        <f>IFERROR(VLOOKUP(B17,INGREDIENTS!$I$6:$L$24,5,FALSE),"")</f>
        <v/>
      </c>
      <c r="F17" s="118"/>
      <c r="G17" s="150">
        <f t="shared" si="0"/>
        <v>0</v>
      </c>
      <c r="H17" s="360"/>
      <c r="I17" s="804"/>
      <c r="J17" s="805"/>
      <c r="K17" s="834" t="s">
        <v>607</v>
      </c>
      <c r="L17" s="836">
        <f>(2.57452*(L15-1)*L16*1000)/(F20*D20)</f>
        <v>0.79460493827160561</v>
      </c>
      <c r="M17" s="837"/>
      <c r="N17" s="840">
        <f>(2.57452*(N15-1)*N16*1000)/(F20*D20)</f>
        <v>0.95352592592592678</v>
      </c>
      <c r="O17" s="841"/>
    </row>
    <row r="18" spans="1:24" ht="17.100000000000001" customHeight="1" thickTop="1" thickBot="1">
      <c r="A18" s="833"/>
      <c r="B18" s="166"/>
      <c r="C18" s="238" t="str">
        <f>IFERROR(VLOOKUP(B18,INGREDIENTS!$I$6:$L$24,3,FALSE),"")</f>
        <v/>
      </c>
      <c r="D18" s="241" t="str">
        <f>IFERROR(VLOOKUP(B18,INGREDIENTS!$I$6:$L$24,2,FALSE),"")</f>
        <v/>
      </c>
      <c r="E18" s="117" t="str">
        <f>IFERROR(VLOOKUP(B18,INGREDIENTS!$I$6:$L$24,5,FALSE),"")</f>
        <v/>
      </c>
      <c r="F18" s="118"/>
      <c r="G18" s="150">
        <f t="shared" si="0"/>
        <v>0</v>
      </c>
      <c r="H18" s="360"/>
      <c r="I18" s="806"/>
      <c r="J18" s="807"/>
      <c r="K18" s="835"/>
      <c r="L18" s="838"/>
      <c r="M18" s="839"/>
      <c r="N18" s="842"/>
      <c r="O18" s="843"/>
    </row>
    <row r="19" spans="1:24" ht="17.100000000000001" customHeight="1" thickBot="1">
      <c r="A19" s="167" t="s">
        <v>639</v>
      </c>
      <c r="B19" s="168" t="s">
        <v>640</v>
      </c>
      <c r="C19" s="216">
        <f>2.9396*((4.23*SUMPRODUCT(C10:C16,F10:F16)/1000)/L22)^0.6859</f>
        <v>13.256552307327313</v>
      </c>
      <c r="D19" s="169">
        <f>SUMPRODUCT(D10:D16,G10:G16)</f>
        <v>0.81</v>
      </c>
      <c r="E19" s="300">
        <f>SUMPRODUCT(E10:E16,F10:F16)/$F$19</f>
        <v>5.7</v>
      </c>
      <c r="F19" s="170">
        <f>SUM(F10:F16)</f>
        <v>6000</v>
      </c>
      <c r="G19" s="171">
        <f>SUM(G10:G16)</f>
        <v>1</v>
      </c>
      <c r="H19" s="361"/>
      <c r="I19" s="784" t="s">
        <v>714</v>
      </c>
      <c r="J19" s="784"/>
      <c r="K19" s="362"/>
      <c r="L19" s="362"/>
      <c r="M19" s="362"/>
      <c r="N19" s="362"/>
      <c r="O19" s="362"/>
    </row>
    <row r="20" spans="1:24" ht="17.45" customHeight="1" thickBot="1">
      <c r="A20" s="151" t="s">
        <v>639</v>
      </c>
      <c r="B20" s="152" t="s">
        <v>641</v>
      </c>
      <c r="C20" s="153">
        <f>2.9396*((4.23*SUMPRODUCT(C10:C18,F10:F18)/1000)/L22)^0.6859</f>
        <v>13.256552307327313</v>
      </c>
      <c r="D20" s="154">
        <f>SUMPRODUCT(D10:D18,G10:G18)</f>
        <v>0.81</v>
      </c>
      <c r="E20" s="301">
        <f>SUMPRODUCT(E10:E18,F10:F18)/$F$20</f>
        <v>5.7</v>
      </c>
      <c r="F20" s="155">
        <f>SUM(F10:F18)</f>
        <v>6000</v>
      </c>
      <c r="G20" s="156">
        <f>SUM(G10:G18)</f>
        <v>1</v>
      </c>
      <c r="H20" s="361"/>
      <c r="I20" s="844" t="s">
        <v>736</v>
      </c>
      <c r="J20" s="845"/>
      <c r="K20" s="181"/>
      <c r="L20" s="850" t="s">
        <v>737</v>
      </c>
      <c r="M20" s="851"/>
      <c r="N20" s="850" t="s">
        <v>630</v>
      </c>
      <c r="O20" s="852"/>
      <c r="Q20" s="819" t="s">
        <v>675</v>
      </c>
      <c r="R20" s="820"/>
      <c r="S20" s="821"/>
      <c r="U20" s="822" t="s">
        <v>912</v>
      </c>
      <c r="V20" s="823"/>
      <c r="W20" s="824"/>
    </row>
    <row r="21" spans="1:24" ht="18" customHeight="1" thickBot="1">
      <c r="A21" s="352"/>
      <c r="B21" s="352"/>
      <c r="C21" s="352"/>
      <c r="D21" s="352"/>
      <c r="E21" s="352"/>
      <c r="F21" s="352"/>
      <c r="G21" s="352"/>
      <c r="H21" s="352"/>
      <c r="I21" s="846"/>
      <c r="J21" s="847"/>
      <c r="K21" s="39" t="s">
        <v>631</v>
      </c>
      <c r="L21" s="825">
        <v>1.0549999999999999</v>
      </c>
      <c r="M21" s="826"/>
      <c r="N21" s="827">
        <v>1.07</v>
      </c>
      <c r="O21" s="828"/>
      <c r="Q21" s="829" t="s">
        <v>676</v>
      </c>
      <c r="R21" s="830"/>
      <c r="S21" s="104"/>
      <c r="U21" s="831" t="s">
        <v>916</v>
      </c>
      <c r="V21" s="831"/>
      <c r="W21" s="315">
        <f>E19</f>
        <v>5.7</v>
      </c>
    </row>
    <row r="22" spans="1:24" ht="15.6" customHeight="1">
      <c r="A22" s="853" t="s">
        <v>643</v>
      </c>
      <c r="B22" s="856" t="s">
        <v>1</v>
      </c>
      <c r="C22" s="857"/>
      <c r="D22" s="856" t="s">
        <v>588</v>
      </c>
      <c r="E22" s="878"/>
      <c r="F22" s="857"/>
      <c r="G22" s="347" t="s">
        <v>644</v>
      </c>
      <c r="H22" s="355"/>
      <c r="I22" s="846"/>
      <c r="J22" s="847"/>
      <c r="K22" s="40" t="s">
        <v>603</v>
      </c>
      <c r="L22" s="872">
        <v>24</v>
      </c>
      <c r="M22" s="873"/>
      <c r="N22" s="874">
        <v>25</v>
      </c>
      <c r="O22" s="875"/>
      <c r="Q22" s="829" t="s">
        <v>677</v>
      </c>
      <c r="R22" s="830"/>
      <c r="S22" s="115"/>
      <c r="U22" s="831" t="s">
        <v>913</v>
      </c>
      <c r="V22" s="831"/>
      <c r="W22" s="315">
        <v>5.8</v>
      </c>
    </row>
    <row r="23" spans="1:24" ht="14.45" customHeight="1">
      <c r="A23" s="854"/>
      <c r="B23" s="858" t="s">
        <v>757</v>
      </c>
      <c r="C23" s="859"/>
      <c r="D23" s="879" t="s">
        <v>1833</v>
      </c>
      <c r="E23" s="880"/>
      <c r="F23" s="881"/>
      <c r="G23" s="348" t="s">
        <v>1834</v>
      </c>
      <c r="H23" s="362"/>
      <c r="I23" s="846"/>
      <c r="J23" s="847"/>
      <c r="K23" s="243" t="s">
        <v>635</v>
      </c>
      <c r="L23" s="876">
        <f>(L16-L22)*100/L16</f>
        <v>20</v>
      </c>
      <c r="M23" s="877"/>
      <c r="N23" s="876">
        <f>(N16-N22)*100/N16</f>
        <v>16.666666666666668</v>
      </c>
      <c r="O23" s="877"/>
      <c r="Q23" s="829" t="s">
        <v>678</v>
      </c>
      <c r="R23" s="830"/>
      <c r="S23" s="104"/>
      <c r="U23" s="860" t="s">
        <v>869</v>
      </c>
      <c r="V23" s="861"/>
      <c r="W23" s="315">
        <v>5.4</v>
      </c>
      <c r="X23" s="227" t="s">
        <v>867</v>
      </c>
    </row>
    <row r="24" spans="1:24" ht="14.45" customHeight="1" thickBot="1">
      <c r="A24" s="854"/>
      <c r="B24" s="858"/>
      <c r="C24" s="859"/>
      <c r="D24" s="858"/>
      <c r="E24" s="938"/>
      <c r="F24" s="938"/>
      <c r="G24" s="348"/>
      <c r="H24" s="362"/>
      <c r="I24" s="846"/>
      <c r="J24" s="847"/>
      <c r="K24" s="209" t="s">
        <v>636</v>
      </c>
      <c r="L24" s="210"/>
      <c r="M24" s="210"/>
      <c r="N24" s="211"/>
      <c r="O24" s="182">
        <f>((N15-1)*1000)*N16*2.57452-((N21-1)*1000)*N22*2.57452</f>
        <v>128.72600000000148</v>
      </c>
      <c r="Q24" s="829" t="s">
        <v>679</v>
      </c>
      <c r="R24" s="830"/>
      <c r="S24" s="50" t="s">
        <v>680</v>
      </c>
      <c r="U24" s="860" t="s">
        <v>915</v>
      </c>
      <c r="V24" s="861"/>
      <c r="W24" s="316">
        <v>20</v>
      </c>
      <c r="X24" s="227" t="s">
        <v>868</v>
      </c>
    </row>
    <row r="25" spans="1:24" ht="14.45" customHeight="1" thickBot="1">
      <c r="A25" s="855"/>
      <c r="B25" s="862"/>
      <c r="C25" s="863"/>
      <c r="D25" s="862"/>
      <c r="E25" s="939"/>
      <c r="F25" s="939"/>
      <c r="G25" s="349"/>
      <c r="H25" s="362"/>
      <c r="I25" s="846"/>
      <c r="J25" s="847"/>
      <c r="K25" s="40" t="s">
        <v>718</v>
      </c>
      <c r="L25" s="864">
        <v>10</v>
      </c>
      <c r="M25" s="865"/>
      <c r="N25" s="866">
        <v>80</v>
      </c>
      <c r="O25" s="867"/>
      <c r="Q25" s="829" t="s">
        <v>681</v>
      </c>
      <c r="R25" s="830"/>
      <c r="S25" s="131">
        <f>IF(S24="","",IF(S24="Sucre",(S23-S21)*1000*2.57452,IF(S24="DMS",(S23-S21)*1000*2.66,IF(S24="LMS",(S23-S21)*1000*3.24,IF(S24="Eau",1000*((S21-1)/(S23-1)*S22-S22)/S22)))))</f>
        <v>0</v>
      </c>
      <c r="U25" s="868" t="s">
        <v>914</v>
      </c>
      <c r="V25" s="869"/>
      <c r="W25" s="882">
        <v>0.8</v>
      </c>
    </row>
    <row r="26" spans="1:24" ht="14.45" customHeight="1" thickBot="1">
      <c r="A26" s="352"/>
      <c r="B26" s="352"/>
      <c r="C26" s="352"/>
      <c r="D26" s="352"/>
      <c r="E26" s="352"/>
      <c r="F26" s="352"/>
      <c r="G26" s="352"/>
      <c r="H26" s="352"/>
      <c r="I26" s="846"/>
      <c r="J26" s="847"/>
      <c r="K26" s="40" t="s">
        <v>716</v>
      </c>
      <c r="L26" s="864">
        <v>2</v>
      </c>
      <c r="M26" s="865"/>
      <c r="N26" s="866">
        <v>80</v>
      </c>
      <c r="O26" s="867"/>
      <c r="Q26" s="829" t="s">
        <v>681</v>
      </c>
      <c r="R26" s="830"/>
      <c r="S26" s="130">
        <f>S25*S22</f>
        <v>0</v>
      </c>
      <c r="U26" s="870"/>
      <c r="V26" s="871"/>
      <c r="W26" s="883"/>
    </row>
    <row r="27" spans="1:24" ht="30">
      <c r="A27" s="884" t="s">
        <v>649</v>
      </c>
      <c r="B27" s="157" t="s">
        <v>1</v>
      </c>
      <c r="C27" s="259" t="s">
        <v>650</v>
      </c>
      <c r="D27" s="157" t="s">
        <v>588</v>
      </c>
      <c r="E27" s="157" t="s">
        <v>647</v>
      </c>
      <c r="F27" s="157" t="s">
        <v>633</v>
      </c>
      <c r="G27" s="158" t="s">
        <v>651</v>
      </c>
      <c r="H27" s="355"/>
      <c r="I27" s="846"/>
      <c r="J27" s="847"/>
      <c r="K27" s="40" t="s">
        <v>717</v>
      </c>
      <c r="L27" s="864">
        <v>30</v>
      </c>
      <c r="M27" s="865"/>
      <c r="N27" s="866">
        <v>80</v>
      </c>
      <c r="O27" s="867"/>
      <c r="U27" s="860" t="s">
        <v>644</v>
      </c>
      <c r="V27" s="861"/>
      <c r="W27" s="317">
        <f>((POWER(10,-W23)-POWER(10,-W22))*W24)/(W25/100)/(1.206/1000)</f>
        <v>4.9672025561232473</v>
      </c>
    </row>
    <row r="28" spans="1:24" ht="14.45" customHeight="1" thickBot="1">
      <c r="A28" s="885"/>
      <c r="B28" s="137" t="s">
        <v>9</v>
      </c>
      <c r="C28" s="239">
        <f>IFERROR(VLOOKUP(B28,INGREDIENTS!$R$6:$U$151,4,FALSE), "")</f>
        <v>0.12</v>
      </c>
      <c r="D28" s="137" t="s">
        <v>732</v>
      </c>
      <c r="E28" s="138">
        <v>60</v>
      </c>
      <c r="F28" s="139">
        <v>11</v>
      </c>
      <c r="G28" s="159">
        <f>IFERROR((VLOOKUP(D28,INGREDIENTS!$AA$6:$AB$14,2,FALSE))*((1.65*(0.000125^($L$31-1))*((1-EXP(-0.04*E28))/4.15))*C28*F28*1000)/($L$32),"")</f>
        <v>13.231703632345745</v>
      </c>
      <c r="H28" s="363"/>
      <c r="I28" s="848"/>
      <c r="J28" s="849"/>
      <c r="K28" s="217" t="s">
        <v>718</v>
      </c>
      <c r="L28" s="887">
        <v>35</v>
      </c>
      <c r="M28" s="888"/>
      <c r="N28" s="889">
        <v>22</v>
      </c>
      <c r="O28" s="890"/>
    </row>
    <row r="29" spans="1:24" ht="14.45" customHeight="1" thickBot="1">
      <c r="A29" s="885"/>
      <c r="B29" s="137" t="s">
        <v>9</v>
      </c>
      <c r="C29" s="239">
        <f>IFERROR(VLOOKUP(B29,INGREDIENTS!$R$6:$U$151,4,FALSE), "")</f>
        <v>0.12</v>
      </c>
      <c r="D29" s="137" t="s">
        <v>724</v>
      </c>
      <c r="E29" s="138">
        <v>15</v>
      </c>
      <c r="F29" s="139">
        <v>18.8</v>
      </c>
      <c r="G29" s="159">
        <f>IFERROR((VLOOKUP(D29,INGREDIENTS!$AA$6:$AB$14,2,FALSE))*((1.65*(0.000125^($L$31-1))*((1-EXP(-0.04*E29))/4.15))*C29*F29*1000)/($L$32),"")</f>
        <v>11.221223263810616</v>
      </c>
      <c r="H29" s="363"/>
      <c r="I29" s="365" t="s">
        <v>714</v>
      </c>
      <c r="J29" s="366"/>
      <c r="K29" s="352"/>
      <c r="L29" s="352"/>
      <c r="M29" s="352"/>
      <c r="N29" s="352"/>
      <c r="O29" s="352"/>
    </row>
    <row r="30" spans="1:24" ht="15" customHeight="1">
      <c r="A30" s="885"/>
      <c r="B30" s="137" t="s">
        <v>9</v>
      </c>
      <c r="C30" s="239">
        <f>IFERROR(VLOOKUP(B30,INGREDIENTS!$R$6:$U$151,4,FALSE), "")</f>
        <v>0.12</v>
      </c>
      <c r="D30" s="137" t="s">
        <v>2570</v>
      </c>
      <c r="E30" s="138">
        <v>20</v>
      </c>
      <c r="F30" s="139">
        <v>7.5</v>
      </c>
      <c r="G30" s="159">
        <f>IFERROR((VLOOKUP(D30,INGREDIENTS!$AA$6:$AB$14,2,FALSE))*((1.65*(0.000125^($L$31-1))*((1-EXP(-0.04*E30))/4.15))*C30*F30*1000)/($L$32),"")</f>
        <v>1.8576199989866666</v>
      </c>
      <c r="H30" s="363"/>
      <c r="I30" s="891" t="s">
        <v>638</v>
      </c>
      <c r="J30" s="892"/>
      <c r="K30" s="179"/>
      <c r="L30" s="897" t="s">
        <v>737</v>
      </c>
      <c r="M30" s="898"/>
      <c r="N30" s="180" t="s">
        <v>630</v>
      </c>
      <c r="O30" s="207"/>
    </row>
    <row r="31" spans="1:24" ht="15.6" customHeight="1">
      <c r="A31" s="885"/>
      <c r="B31" s="137" t="s">
        <v>9</v>
      </c>
      <c r="C31" s="239">
        <f>IFERROR(VLOOKUP(B31,INGREDIENTS!$R$6:$U$151,4,FALSE), "")</f>
        <v>0.12</v>
      </c>
      <c r="D31" s="137" t="s">
        <v>598</v>
      </c>
      <c r="E31" s="138" t="s">
        <v>861</v>
      </c>
      <c r="F31" s="139">
        <v>62</v>
      </c>
      <c r="G31" s="159" t="str">
        <f>IFERROR((VLOOKUP(D31,INGREDIENTS!$AA$6:$AB$14,2,FALSE))*((1.65*(0.000125^($L$31-1))*((1-EXP(-0.04*E31))/4.15))*C31*F31*1000)/($L$32),"")</f>
        <v/>
      </c>
      <c r="H31" s="363"/>
      <c r="I31" s="893"/>
      <c r="J31" s="894"/>
      <c r="K31" s="49" t="s">
        <v>604</v>
      </c>
      <c r="L31" s="899">
        <v>1.0549999999999999</v>
      </c>
      <c r="M31" s="900"/>
      <c r="N31" s="901">
        <v>1.0549999999999999</v>
      </c>
      <c r="O31" s="902"/>
    </row>
    <row r="32" spans="1:24" ht="15.6" customHeight="1">
      <c r="A32" s="885"/>
      <c r="B32" s="137"/>
      <c r="C32" s="239" t="str">
        <f>IFERROR(VLOOKUP(B32,INGREDIENTS!$R$6:$U$151,4,FALSE), "")</f>
        <v/>
      </c>
      <c r="D32" s="137"/>
      <c r="E32" s="138"/>
      <c r="F32" s="139"/>
      <c r="G32" s="159" t="str">
        <f>IFERROR((VLOOKUP(D32,INGREDIENTS!$AA$6:$AB$14,2,FALSE))*((1.65*(0.000125^($L$31-1))*((1-EXP(-0.04*E32))/4.15))*C32*F32*1000)/($L$32),"")</f>
        <v/>
      </c>
      <c r="H32" s="363"/>
      <c r="I32" s="893"/>
      <c r="J32" s="894"/>
      <c r="K32" s="49" t="s">
        <v>603</v>
      </c>
      <c r="L32" s="903">
        <v>22</v>
      </c>
      <c r="M32" s="904"/>
      <c r="N32" s="905">
        <v>22</v>
      </c>
      <c r="O32" s="906"/>
    </row>
    <row r="33" spans="1:17" ht="17.100000000000001" customHeight="1">
      <c r="A33" s="885"/>
      <c r="B33" s="137"/>
      <c r="C33" s="239" t="str">
        <f>IFERROR(VLOOKUP(B33,INGREDIENTS!$R$6:$U$151,4,FALSE), "")</f>
        <v/>
      </c>
      <c r="D33" s="137"/>
      <c r="E33" s="138"/>
      <c r="F33" s="139"/>
      <c r="G33" s="159" t="str">
        <f>IFERROR((VLOOKUP(D33,INGREDIENTS!$AA$6:$AB$14,2,FALSE))*((1.65*(0.000125^($L$31-1))*((1-EXP(-0.04*E33))/4.15))*C33*F33*1000)/($L$32),"")</f>
        <v/>
      </c>
      <c r="H33" s="363"/>
      <c r="I33" s="893"/>
      <c r="J33" s="894"/>
      <c r="K33" s="907" t="s">
        <v>642</v>
      </c>
      <c r="L33" s="909">
        <v>0.6952285714285712</v>
      </c>
      <c r="M33" s="910"/>
      <c r="N33" s="909">
        <f>(2.57452*N32*(N31-1)*1000)/(D20*F20)</f>
        <v>0.64098131687242732</v>
      </c>
      <c r="O33" s="913"/>
    </row>
    <row r="34" spans="1:17" ht="17.100000000000001" customHeight="1" thickBot="1">
      <c r="A34" s="885"/>
      <c r="B34" s="137"/>
      <c r="C34" s="239" t="str">
        <f>IFERROR(VLOOKUP(B34,INGREDIENTS!$R$6:$U$151,4,FALSE), "")</f>
        <v/>
      </c>
      <c r="D34" s="137"/>
      <c r="E34" s="138"/>
      <c r="F34" s="139"/>
      <c r="G34" s="159" t="str">
        <f>IFERROR((VLOOKUP(D34,INGREDIENTS!$AA$6:$AB$14,2,FALSE))*((1.65*(0.000125^($L$31-1))*((1-EXP(-0.04*E34))/4.15))*C34*F34*1000)/($L$32),"")</f>
        <v/>
      </c>
      <c r="H34" s="363"/>
      <c r="I34" s="895"/>
      <c r="J34" s="896"/>
      <c r="K34" s="908"/>
      <c r="L34" s="911"/>
      <c r="M34" s="912"/>
      <c r="N34" s="911"/>
      <c r="O34" s="914"/>
    </row>
    <row r="35" spans="1:17" ht="17.100000000000001" customHeight="1" thickBot="1">
      <c r="A35" s="885"/>
      <c r="B35" s="137"/>
      <c r="C35" s="239" t="str">
        <f>IFERROR(VLOOKUP(B35,INGREDIENTS!$R$6:$U$151,4,FALSE), "")</f>
        <v/>
      </c>
      <c r="D35" s="137"/>
      <c r="E35" s="138"/>
      <c r="F35" s="139"/>
      <c r="G35" s="159" t="str">
        <f>IFERROR((VLOOKUP(D35,INGREDIENTS!$AA$6:$AB$14,2,FALSE))*((1.65*(0.000125^($L$31-1))*((1-EXP(-0.04*E35))/4.15))*C35*F35*1000)/($L$32),"")</f>
        <v/>
      </c>
      <c r="H35" s="363"/>
      <c r="I35" s="784" t="s">
        <v>714</v>
      </c>
      <c r="J35" s="784"/>
      <c r="K35" s="362"/>
      <c r="L35" s="362"/>
      <c r="M35" s="362"/>
      <c r="N35" s="362"/>
      <c r="O35" s="362"/>
    </row>
    <row r="36" spans="1:17" ht="14.45" customHeight="1">
      <c r="A36" s="885"/>
      <c r="B36" s="137"/>
      <c r="C36" s="239" t="str">
        <f>IFERROR(VLOOKUP(B36,INGREDIENTS!$R$6:$U$151,4,FALSE), "")</f>
        <v/>
      </c>
      <c r="D36" s="137"/>
      <c r="E36" s="138"/>
      <c r="F36" s="139"/>
      <c r="G36" s="159" t="str">
        <f>IFERROR((VLOOKUP(D36,INGREDIENTS!$AA$6:$AB$14,2,FALSE))*((1.65*(0.000125^($L$31-1))*((1-EXP(-0.04*E36))/4.15))*C36*F36*1000)/($L$32),"")</f>
        <v/>
      </c>
      <c r="H36" s="363"/>
      <c r="I36" s="917" t="s">
        <v>645</v>
      </c>
      <c r="J36" s="918"/>
      <c r="K36" s="923" t="s">
        <v>674</v>
      </c>
      <c r="L36" s="183" t="s">
        <v>646</v>
      </c>
      <c r="M36" s="184" t="s">
        <v>647</v>
      </c>
      <c r="N36" s="185" t="s">
        <v>605</v>
      </c>
      <c r="O36" s="186" t="s">
        <v>648</v>
      </c>
      <c r="Q36" s="302"/>
    </row>
    <row r="37" spans="1:17" ht="14.45" customHeight="1">
      <c r="A37" s="885"/>
      <c r="B37" s="137"/>
      <c r="C37" s="239" t="str">
        <f>IFERROR(VLOOKUP(B37,INGREDIENTS!$R$6:$U$151,4,FALSE), "")</f>
        <v/>
      </c>
      <c r="D37" s="137"/>
      <c r="E37" s="138"/>
      <c r="F37" s="139"/>
      <c r="G37" s="159" t="str">
        <f>IFERROR((VLOOKUP(D37,INGREDIENTS!$AA$6:$AB$14,2,FALSE))*((1.65*(0.000125^($L$31-1))*((1-EXP(-0.04*E37))/4.15))*C37*F37*1000)/($L$32),"")</f>
        <v/>
      </c>
      <c r="H37" s="363"/>
      <c r="I37" s="919"/>
      <c r="J37" s="920"/>
      <c r="K37" s="924"/>
      <c r="L37" s="44">
        <v>19</v>
      </c>
      <c r="M37" s="45">
        <v>21</v>
      </c>
      <c r="N37" s="46">
        <v>45298</v>
      </c>
      <c r="O37" s="187">
        <f>N37+M37</f>
        <v>45319</v>
      </c>
      <c r="Q37" s="305"/>
    </row>
    <row r="38" spans="1:17" ht="14.45" customHeight="1">
      <c r="A38" s="885"/>
      <c r="B38" s="137"/>
      <c r="C38" s="239" t="str">
        <f>IFERROR(VLOOKUP(B38,INGREDIENTS!$R$6:$U$151,4,FALSE), "")</f>
        <v/>
      </c>
      <c r="D38" s="137"/>
      <c r="E38" s="138"/>
      <c r="F38" s="139"/>
      <c r="G38" s="159" t="str">
        <f>IFERROR((VLOOKUP(D38,INGREDIENTS!$AA$6:$AB$14,2,FALSE))*((1.65*(0.000125^($L$31-1))*((1-EXP(-0.04*E38))/4.15))*C38*F38*1000)/($L$32),"")</f>
        <v/>
      </c>
      <c r="H38" s="363"/>
      <c r="I38" s="919"/>
      <c r="J38" s="920"/>
      <c r="K38" s="924"/>
      <c r="L38" s="33" t="s">
        <v>667</v>
      </c>
      <c r="M38" s="260" t="s">
        <v>807</v>
      </c>
      <c r="N38" s="46"/>
      <c r="O38" s="187"/>
      <c r="Q38" s="302"/>
    </row>
    <row r="39" spans="1:17" ht="14.45" customHeight="1">
      <c r="A39" s="885"/>
      <c r="B39" s="137"/>
      <c r="C39" s="239" t="str">
        <f>IFERROR(VLOOKUP(B39,INGREDIENTS!$R$6:$U$151,4,FALSE), "")</f>
        <v/>
      </c>
      <c r="D39" s="137"/>
      <c r="E39" s="138"/>
      <c r="F39" s="139"/>
      <c r="G39" s="159" t="str">
        <f>IFERROR((VLOOKUP(D39,INGREDIENTS!$AA$6:$AB$14,2,FALSE))*((1.65*(0.000125^($L$31-1))*((1-EXP(-0.04*E39))/4.15))*C39*F39*1000)/($L$32),"")</f>
        <v/>
      </c>
      <c r="H39" s="363"/>
      <c r="I39" s="919"/>
      <c r="J39" s="920"/>
      <c r="K39" s="924"/>
      <c r="L39" s="33" t="s">
        <v>1835</v>
      </c>
      <c r="M39" s="45" t="s">
        <v>671</v>
      </c>
      <c r="N39" s="46">
        <f>N37+3</f>
        <v>45301</v>
      </c>
      <c r="O39" s="187"/>
      <c r="Q39" s="306"/>
    </row>
    <row r="40" spans="1:17" ht="17.45" customHeight="1">
      <c r="A40" s="885"/>
      <c r="B40" s="137"/>
      <c r="C40" s="239" t="str">
        <f>IFERROR(VLOOKUP(B40,INGREDIENTS!$R$6:$U$151,4,FALSE), "")</f>
        <v/>
      </c>
      <c r="D40" s="137"/>
      <c r="E40" s="138"/>
      <c r="F40" s="139"/>
      <c r="G40" s="159" t="str">
        <f>IFERROR((VLOOKUP(D40,INGREDIENTS!$AA$6:$AB$14,2,FALSE))*((1.65*(0.000125^($L$31-1))*((1-EXP(-0.04*E40))/4.15))*C40*F40*1000)/($L$32),"")</f>
        <v/>
      </c>
      <c r="H40" s="364"/>
      <c r="I40" s="919"/>
      <c r="J40" s="920"/>
      <c r="K40" s="924"/>
      <c r="L40" s="33"/>
      <c r="M40" s="45"/>
      <c r="N40" s="46"/>
      <c r="O40" s="187"/>
      <c r="Q40" s="306"/>
    </row>
    <row r="41" spans="1:17" ht="14.45" customHeight="1">
      <c r="A41" s="885"/>
      <c r="B41" s="137"/>
      <c r="C41" s="239" t="str">
        <f>IFERROR(VLOOKUP(B41,INGREDIENTS!$R$6:$U$151,4,FALSE), "")</f>
        <v/>
      </c>
      <c r="D41" s="137"/>
      <c r="E41" s="138"/>
      <c r="F41" s="139"/>
      <c r="G41" s="159" t="str">
        <f>IFERROR((VLOOKUP(D41,INGREDIENTS!$AA$6:$AB$14,2,FALSE))*((1.65*(0.000125^($L$31-1))*((1-EXP(-0.04*E41))/4.15))*C41*F41*1000)/($L$32),"")</f>
        <v/>
      </c>
      <c r="H41" s="362"/>
      <c r="I41" s="919"/>
      <c r="J41" s="920"/>
      <c r="K41" s="924"/>
      <c r="L41" s="33"/>
      <c r="M41" s="45"/>
      <c r="N41" s="46"/>
      <c r="O41" s="187"/>
      <c r="Q41" s="306"/>
    </row>
    <row r="42" spans="1:17" ht="14.45" customHeight="1">
      <c r="A42" s="885"/>
      <c r="B42" s="137"/>
      <c r="C42" s="239" t="str">
        <f>IFERROR(VLOOKUP(B42,INGREDIENTS!$R$6:$U$151,4,FALSE), "")</f>
        <v/>
      </c>
      <c r="D42" s="137"/>
      <c r="E42" s="138"/>
      <c r="F42" s="139"/>
      <c r="G42" s="159" t="str">
        <f>IFERROR((VLOOKUP(D42,INGREDIENTS!$AA$6:$AB$14,2,FALSE))*((1.65*(0.000125^($L$31-1))*((1-EXP(-0.04*E42))/4.15))*C42*F42*1000)/($L$32),"")</f>
        <v/>
      </c>
      <c r="H42" s="361"/>
      <c r="I42" s="919"/>
      <c r="J42" s="920"/>
      <c r="K42" s="925"/>
      <c r="L42" s="33" t="s">
        <v>723</v>
      </c>
      <c r="M42" s="45"/>
      <c r="N42" s="46">
        <f>N37+20</f>
        <v>45318</v>
      </c>
      <c r="O42" s="187"/>
      <c r="Q42" s="306"/>
    </row>
    <row r="43" spans="1:17" ht="14.45" customHeight="1" thickBot="1">
      <c r="A43" s="886"/>
      <c r="B43" s="137"/>
      <c r="C43" s="239" t="str">
        <f>IFERROR(VLOOKUP(B43,INGREDIENTS!$R$6:$U$151,4,FALSE), "")</f>
        <v/>
      </c>
      <c r="D43" s="137"/>
      <c r="E43" s="138"/>
      <c r="F43" s="139"/>
      <c r="G43" s="159" t="str">
        <f>IFERROR((VLOOKUP(D43,INGREDIENTS!$AA$6:$AB$14,2,FALSE))*((1.65*(0.000125^($L$31-1))*((1-EXP(-0.04*E43))/4.15))*C43*F43*1000)/($L$32),"")</f>
        <v/>
      </c>
      <c r="H43" s="360"/>
      <c r="I43" s="919"/>
      <c r="J43" s="920"/>
      <c r="K43" s="926" t="s">
        <v>652</v>
      </c>
      <c r="L43" s="927"/>
      <c r="M43" s="927"/>
      <c r="N43" s="927"/>
      <c r="O43" s="928"/>
    </row>
    <row r="44" spans="1:17" ht="14.45" customHeight="1" thickBot="1">
      <c r="A44" s="160"/>
      <c r="B44" s="161" t="s">
        <v>656</v>
      </c>
      <c r="C44" s="162"/>
      <c r="D44" s="162"/>
      <c r="E44" s="163"/>
      <c r="F44" s="164">
        <f>SUM(F28:F43)</f>
        <v>99.3</v>
      </c>
      <c r="G44" s="165">
        <f>SUM(G28:G43)</f>
        <v>26.31054689514303</v>
      </c>
      <c r="H44" s="360"/>
      <c r="I44" s="919"/>
      <c r="J44" s="920"/>
      <c r="K44" s="929" t="s">
        <v>605</v>
      </c>
      <c r="L44" s="42" t="s">
        <v>631</v>
      </c>
      <c r="M44" s="42" t="s">
        <v>653</v>
      </c>
      <c r="N44" s="42"/>
      <c r="O44" s="188" t="s">
        <v>654</v>
      </c>
      <c r="Q44" s="304"/>
    </row>
    <row r="45" spans="1:17" ht="14.45" customHeight="1">
      <c r="H45" s="360"/>
      <c r="I45" s="919"/>
      <c r="J45" s="920"/>
      <c r="K45" s="924"/>
      <c r="L45" s="195"/>
      <c r="M45" s="119" t="s">
        <v>623</v>
      </c>
      <c r="N45" s="120" t="s">
        <v>623</v>
      </c>
      <c r="O45" s="189" t="s">
        <v>623</v>
      </c>
      <c r="Q45" s="303"/>
    </row>
    <row r="46" spans="1:17" ht="18.600000000000001" customHeight="1">
      <c r="A46" s="931" t="s">
        <v>657</v>
      </c>
      <c r="B46" s="196" t="s">
        <v>1</v>
      </c>
      <c r="C46" s="2" t="s">
        <v>752</v>
      </c>
      <c r="D46" s="196" t="s">
        <v>69</v>
      </c>
      <c r="E46" s="196" t="s">
        <v>70</v>
      </c>
      <c r="F46" s="934" t="s">
        <v>658</v>
      </c>
      <c r="G46" s="935"/>
      <c r="H46" s="360"/>
      <c r="I46" s="919"/>
      <c r="J46" s="920"/>
      <c r="K46" s="924"/>
      <c r="L46" s="48"/>
      <c r="M46" s="119" t="s">
        <v>623</v>
      </c>
      <c r="N46" s="120" t="s">
        <v>623</v>
      </c>
      <c r="O46" s="189" t="s">
        <v>623</v>
      </c>
    </row>
    <row r="47" spans="1:17" ht="14.45" customHeight="1">
      <c r="A47" s="932"/>
      <c r="B47" s="3" t="s">
        <v>821</v>
      </c>
      <c r="C47" s="293">
        <v>23</v>
      </c>
      <c r="D47" s="240" t="str">
        <f>IFERROR(VLOOKUP(B47,INGREDIENTS!$AF$6:$AT$37,7,FALSE),"")</f>
        <v/>
      </c>
      <c r="E47" s="240" t="str">
        <f>IFERROR(VLOOKUP(B47,INGREDIENTS!$AF$6:$AT$37,8,FALSE),"")</f>
        <v/>
      </c>
      <c r="F47" s="936" t="str">
        <f>IFERROR(VLOOKUP(B47,INGREDIENTS!$AF$6:$AT$37,6,FALSE),"")</f>
        <v/>
      </c>
      <c r="G47" s="937"/>
      <c r="H47" s="352"/>
      <c r="I47" s="919"/>
      <c r="J47" s="920"/>
      <c r="K47" s="924"/>
      <c r="L47" s="48"/>
      <c r="M47" s="119" t="s">
        <v>623</v>
      </c>
      <c r="N47" s="120" t="s">
        <v>623</v>
      </c>
      <c r="O47" s="189" t="s">
        <v>623</v>
      </c>
    </row>
    <row r="48" spans="1:17" ht="14.45" customHeight="1">
      <c r="A48" s="932"/>
      <c r="B48" s="3"/>
      <c r="C48" s="293"/>
      <c r="D48" s="240" t="str">
        <f>IFERROR(VLOOKUP(B48,INGREDIENTS!$AF$6:$AT$37,7,FALSE),"")</f>
        <v/>
      </c>
      <c r="E48" s="240" t="str">
        <f>IFERROR(VLOOKUP(B48,INGREDIENTS!$AF$6:$AT$37,8,FALSE),"")</f>
        <v/>
      </c>
      <c r="F48" s="936" t="str">
        <f>IFERROR(VLOOKUP(B48,INGREDIENTS!$AF$6:$AT$37,5,FALSE),"")</f>
        <v/>
      </c>
      <c r="G48" s="937"/>
      <c r="H48" s="352"/>
      <c r="I48" s="919"/>
      <c r="J48" s="920"/>
      <c r="K48" s="924"/>
      <c r="L48" s="48"/>
      <c r="M48" s="119" t="s">
        <v>623</v>
      </c>
      <c r="N48" s="120" t="s">
        <v>623</v>
      </c>
      <c r="O48" s="189" t="s">
        <v>623</v>
      </c>
    </row>
    <row r="49" spans="1:15" ht="14.45" customHeight="1" thickBot="1">
      <c r="A49" s="932"/>
      <c r="B49" s="3"/>
      <c r="C49" s="293"/>
      <c r="D49" s="240" t="str">
        <f>IFERROR(VLOOKUP(B49,INGREDIENTS!$AF$6:$AT$37,7,FALSE),"")</f>
        <v/>
      </c>
      <c r="E49" s="240" t="str">
        <f>IFERROR(VLOOKUP(B49,INGREDIENTS!$AF$6:$AT$37,8,FALSE),"")</f>
        <v/>
      </c>
      <c r="F49" s="936" t="str">
        <f>IFERROR(VLOOKUP(B49,INGREDIENTS!$AF$6:$AT$37,5,FALSE),"")</f>
        <v/>
      </c>
      <c r="G49" s="937"/>
      <c r="H49" s="352"/>
      <c r="I49" s="921"/>
      <c r="J49" s="922"/>
      <c r="K49" s="930"/>
      <c r="L49" s="190"/>
      <c r="M49" s="191"/>
      <c r="N49" s="192" t="s">
        <v>623</v>
      </c>
      <c r="O49" s="193" t="s">
        <v>623</v>
      </c>
    </row>
    <row r="50" spans="1:15" ht="15" customHeight="1" thickBot="1">
      <c r="A50" s="933"/>
      <c r="B50" s="3"/>
      <c r="C50" s="293"/>
      <c r="D50" s="240" t="str">
        <f>IFERROR(VLOOKUP(B50,INGREDIENTS!$AF$6:$AT$37,7,FALSE),"")</f>
        <v/>
      </c>
      <c r="E50" s="240" t="str">
        <f>IFERROR(VLOOKUP(B50,INGREDIENTS!$AF$6:$AT$37,8,FALSE),"")</f>
        <v/>
      </c>
      <c r="F50" s="936" t="str">
        <f>IFERROR(VLOOKUP(B50,INGREDIENTS!$AF$6:$AT$37,5,FALSE),"")</f>
        <v/>
      </c>
      <c r="G50" s="937"/>
      <c r="H50" s="352"/>
      <c r="I50" s="784" t="s">
        <v>714</v>
      </c>
      <c r="J50" s="784"/>
      <c r="K50" s="352"/>
      <c r="L50" s="352"/>
      <c r="M50" s="352"/>
      <c r="N50" s="352"/>
      <c r="O50" s="352"/>
    </row>
    <row r="51" spans="1:15" ht="14.45" customHeight="1">
      <c r="A51" s="352"/>
      <c r="B51" s="352"/>
      <c r="C51" s="352"/>
      <c r="D51" s="352"/>
      <c r="E51" s="352"/>
      <c r="F51" s="352"/>
      <c r="G51" s="352"/>
      <c r="H51" s="352"/>
      <c r="I51" s="960" t="s">
        <v>655</v>
      </c>
      <c r="J51" s="961"/>
      <c r="K51" s="194">
        <v>43857</v>
      </c>
      <c r="L51" s="966" t="s">
        <v>629</v>
      </c>
      <c r="M51" s="967"/>
      <c r="N51" s="966" t="s">
        <v>630</v>
      </c>
      <c r="O51" s="968"/>
    </row>
    <row r="52" spans="1:15" ht="14.45" customHeight="1">
      <c r="A52" s="352"/>
      <c r="B52" s="352"/>
      <c r="C52" s="352"/>
      <c r="D52" s="352"/>
      <c r="E52" s="352"/>
      <c r="F52" s="352"/>
      <c r="G52" s="352"/>
      <c r="H52" s="352"/>
      <c r="I52" s="962"/>
      <c r="J52" s="963"/>
      <c r="K52" s="208" t="s">
        <v>603</v>
      </c>
      <c r="L52" s="969">
        <v>20</v>
      </c>
      <c r="M52" s="970"/>
      <c r="N52" s="971">
        <v>19</v>
      </c>
      <c r="O52" s="972"/>
    </row>
    <row r="53" spans="1:15" ht="14.45" customHeight="1">
      <c r="A53" s="352"/>
      <c r="B53" s="352"/>
      <c r="C53" s="352"/>
      <c r="D53" s="352"/>
      <c r="E53" s="352"/>
      <c r="F53" s="352"/>
      <c r="G53" s="352"/>
      <c r="H53" s="352"/>
      <c r="I53" s="962"/>
      <c r="J53" s="963"/>
      <c r="K53" s="212" t="s">
        <v>606</v>
      </c>
      <c r="L53" s="973">
        <v>1.014</v>
      </c>
      <c r="M53" s="974"/>
      <c r="N53" s="975">
        <v>1.012</v>
      </c>
      <c r="O53" s="976"/>
    </row>
    <row r="54" spans="1:15" ht="14.45" customHeight="1">
      <c r="A54" s="352"/>
      <c r="B54" s="352"/>
      <c r="C54" s="352"/>
      <c r="D54" s="352"/>
      <c r="E54" s="352"/>
      <c r="F54" s="352"/>
      <c r="G54" s="352"/>
      <c r="H54" s="352"/>
      <c r="I54" s="962"/>
      <c r="J54" s="963"/>
      <c r="K54" s="208" t="s">
        <v>653</v>
      </c>
      <c r="L54" s="915" t="str">
        <f>F47</f>
        <v/>
      </c>
      <c r="M54" s="916"/>
      <c r="N54" s="915">
        <f>(N31-L53)/(N31-1)</f>
        <v>0.74545454545454493</v>
      </c>
      <c r="O54" s="952"/>
    </row>
    <row r="55" spans="1:15" ht="14.45" customHeight="1">
      <c r="A55" s="352"/>
      <c r="B55" s="352"/>
      <c r="C55" s="352"/>
      <c r="D55" s="352"/>
      <c r="E55" s="352"/>
      <c r="F55" s="352"/>
      <c r="G55" s="352"/>
      <c r="H55" s="352"/>
      <c r="I55" s="962"/>
      <c r="J55" s="963"/>
      <c r="K55" s="208" t="s">
        <v>659</v>
      </c>
      <c r="L55" s="953">
        <f>(76.08*(L31-L53)/(1.775-L31))*(L53/0.794)</f>
        <v>5.5327279596977235</v>
      </c>
      <c r="M55" s="954"/>
      <c r="N55" s="953">
        <f>(76.08*(N31-N53)/(1.775-N31))*(N53/0.794)</f>
        <v>5.7911721242653131</v>
      </c>
      <c r="O55" s="954"/>
    </row>
    <row r="56" spans="1:15" ht="14.45" customHeight="1">
      <c r="A56" s="352"/>
      <c r="B56" s="352"/>
      <c r="C56" s="352"/>
      <c r="D56" s="352"/>
      <c r="E56" s="352"/>
      <c r="F56" s="352"/>
      <c r="G56" s="352"/>
      <c r="H56" s="352"/>
      <c r="I56" s="962"/>
      <c r="J56" s="963"/>
      <c r="K56" s="41" t="s">
        <v>660</v>
      </c>
      <c r="L56" s="955" t="s">
        <v>1836</v>
      </c>
      <c r="M56" s="956"/>
      <c r="N56" s="955">
        <v>2.2000000000000002</v>
      </c>
      <c r="O56" s="957"/>
    </row>
    <row r="57" spans="1:15" ht="14.45" customHeight="1">
      <c r="A57" s="352"/>
      <c r="B57" s="352"/>
      <c r="C57" s="352"/>
      <c r="D57" s="352"/>
      <c r="E57" s="352"/>
      <c r="F57" s="352"/>
      <c r="G57" s="352"/>
      <c r="H57" s="352"/>
      <c r="I57" s="962"/>
      <c r="J57" s="963"/>
      <c r="K57" s="958" t="s">
        <v>661</v>
      </c>
      <c r="L57" s="959"/>
      <c r="M57" s="958" t="s">
        <v>662</v>
      </c>
      <c r="N57" s="959"/>
      <c r="O57" s="219" t="s">
        <v>721</v>
      </c>
    </row>
    <row r="58" spans="1:15" ht="14.45" customHeight="1" thickBot="1">
      <c r="A58" s="352"/>
      <c r="B58" s="352"/>
      <c r="C58" s="352"/>
      <c r="D58" s="352"/>
      <c r="E58" s="352"/>
      <c r="F58" s="352"/>
      <c r="G58" s="352"/>
      <c r="H58" s="352"/>
      <c r="I58" s="962"/>
      <c r="J58" s="963"/>
      <c r="K58" s="940">
        <v>5</v>
      </c>
      <c r="L58" s="941"/>
      <c r="M58" s="942">
        <f>N52*K58</f>
        <v>95</v>
      </c>
      <c r="N58" s="943"/>
      <c r="O58" s="234">
        <v>1.6</v>
      </c>
    </row>
    <row r="59" spans="1:15">
      <c r="A59" s="352"/>
      <c r="B59" s="352"/>
      <c r="C59" s="352"/>
      <c r="D59" s="352"/>
      <c r="E59" s="352"/>
      <c r="F59" s="352"/>
      <c r="G59" s="352"/>
      <c r="H59" s="352"/>
      <c r="I59" s="962"/>
      <c r="J59" s="963"/>
      <c r="K59" s="944" t="s">
        <v>722</v>
      </c>
      <c r="L59" s="944"/>
      <c r="M59" s="945"/>
      <c r="N59" s="230" t="s">
        <v>719</v>
      </c>
      <c r="O59" s="231">
        <f>K58*0.75*1000/(M58/O58)</f>
        <v>63.157894736842103</v>
      </c>
    </row>
    <row r="60" spans="1:15" ht="15" customHeight="1" thickBot="1">
      <c r="A60" s="352"/>
      <c r="B60" s="352"/>
      <c r="C60" s="352"/>
      <c r="D60" s="352"/>
      <c r="E60" s="352"/>
      <c r="F60" s="352"/>
      <c r="G60" s="352"/>
      <c r="H60" s="352"/>
      <c r="I60" s="964"/>
      <c r="J60" s="965"/>
      <c r="K60" s="229"/>
      <c r="L60" s="229"/>
      <c r="M60" s="229"/>
      <c r="N60" s="232" t="s">
        <v>720</v>
      </c>
      <c r="O60" s="233">
        <f>K58*0.33*1000/(M58/O58)</f>
        <v>27.789473684210531</v>
      </c>
    </row>
    <row r="61" spans="1:15" ht="15.75" thickBot="1">
      <c r="A61" s="352"/>
      <c r="B61" s="352"/>
      <c r="C61" s="352"/>
      <c r="D61" s="352"/>
      <c r="E61" s="352"/>
      <c r="F61" s="352"/>
      <c r="G61" s="352"/>
      <c r="H61" s="352"/>
      <c r="I61" s="784" t="s">
        <v>714</v>
      </c>
      <c r="J61" s="784"/>
      <c r="K61" s="352" t="s">
        <v>1837</v>
      </c>
      <c r="L61" s="352"/>
      <c r="M61" s="352"/>
      <c r="N61" s="352"/>
      <c r="O61" s="352"/>
    </row>
    <row r="64" spans="1:15">
      <c r="O64" s="220"/>
    </row>
    <row r="65" spans="15:21">
      <c r="O65" s="220"/>
    </row>
    <row r="66" spans="15:21">
      <c r="O66" s="220"/>
      <c r="P66" s="221"/>
    </row>
    <row r="67" spans="15:21">
      <c r="O67" s="220"/>
      <c r="P67" s="221"/>
    </row>
    <row r="68" spans="15:21">
      <c r="O68" s="222"/>
      <c r="P68" s="223"/>
    </row>
    <row r="69" spans="15:21">
      <c r="O69" s="222"/>
      <c r="P69" s="223"/>
    </row>
    <row r="70" spans="15:21">
      <c r="O70" s="220"/>
      <c r="P70" s="224"/>
    </row>
    <row r="72" spans="15:21">
      <c r="R72" s="225"/>
      <c r="S72" s="226"/>
      <c r="U72" s="18"/>
    </row>
    <row r="73" spans="15:21">
      <c r="R73" s="225"/>
      <c r="S73" s="226"/>
      <c r="U73" s="18"/>
    </row>
    <row r="74" spans="15:21">
      <c r="R74" s="227"/>
      <c r="U74" s="16"/>
    </row>
    <row r="75" spans="15:21">
      <c r="O75" s="228"/>
      <c r="R75" s="225"/>
      <c r="S75" s="226"/>
      <c r="U75" s="16"/>
    </row>
  </sheetData>
  <mergeCells count="122">
    <mergeCell ref="D24:F24"/>
    <mergeCell ref="D25:F25"/>
    <mergeCell ref="K58:L58"/>
    <mergeCell ref="M58:N58"/>
    <mergeCell ref="K59:M59"/>
    <mergeCell ref="I61:J61"/>
    <mergeCell ref="R6:X6"/>
    <mergeCell ref="R7:W7"/>
    <mergeCell ref="N54:O54"/>
    <mergeCell ref="L55:M55"/>
    <mergeCell ref="N55:O55"/>
    <mergeCell ref="L56:M56"/>
    <mergeCell ref="N56:O56"/>
    <mergeCell ref="K57:L57"/>
    <mergeCell ref="M57:N57"/>
    <mergeCell ref="F50:G50"/>
    <mergeCell ref="I50:J50"/>
    <mergeCell ref="I51:J60"/>
    <mergeCell ref="L51:M51"/>
    <mergeCell ref="N51:O51"/>
    <mergeCell ref="L52:M52"/>
    <mergeCell ref="N52:O52"/>
    <mergeCell ref="L53:M53"/>
    <mergeCell ref="N53:O53"/>
    <mergeCell ref="L54:M54"/>
    <mergeCell ref="I35:J35"/>
    <mergeCell ref="I36:J49"/>
    <mergeCell ref="K36:K42"/>
    <mergeCell ref="K43:O43"/>
    <mergeCell ref="K44:K49"/>
    <mergeCell ref="A46:A50"/>
    <mergeCell ref="F46:G46"/>
    <mergeCell ref="F47:G47"/>
    <mergeCell ref="F48:G48"/>
    <mergeCell ref="F49:G49"/>
    <mergeCell ref="W25:W26"/>
    <mergeCell ref="L26:M26"/>
    <mergeCell ref="N26:O26"/>
    <mergeCell ref="Q26:R26"/>
    <mergeCell ref="A27:A43"/>
    <mergeCell ref="L27:M27"/>
    <mergeCell ref="N27:O27"/>
    <mergeCell ref="U27:V27"/>
    <mergeCell ref="L28:M28"/>
    <mergeCell ref="N28:O28"/>
    <mergeCell ref="I30:J34"/>
    <mergeCell ref="L30:M30"/>
    <mergeCell ref="L31:M31"/>
    <mergeCell ref="N31:O31"/>
    <mergeCell ref="L32:M32"/>
    <mergeCell ref="N32:O32"/>
    <mergeCell ref="K33:K34"/>
    <mergeCell ref="L33:M34"/>
    <mergeCell ref="N33:O34"/>
    <mergeCell ref="L22:M22"/>
    <mergeCell ref="N22:O22"/>
    <mergeCell ref="Q22:R22"/>
    <mergeCell ref="U22:V22"/>
    <mergeCell ref="B23:C23"/>
    <mergeCell ref="L23:M23"/>
    <mergeCell ref="N23:O23"/>
    <mergeCell ref="Q23:R23"/>
    <mergeCell ref="U23:V23"/>
    <mergeCell ref="D22:F22"/>
    <mergeCell ref="D23:F23"/>
    <mergeCell ref="Q20:S20"/>
    <mergeCell ref="U20:W20"/>
    <mergeCell ref="L21:M21"/>
    <mergeCell ref="N21:O21"/>
    <mergeCell ref="Q21:R21"/>
    <mergeCell ref="U21:V21"/>
    <mergeCell ref="A17:A18"/>
    <mergeCell ref="K17:K18"/>
    <mergeCell ref="L17:M18"/>
    <mergeCell ref="N17:O18"/>
    <mergeCell ref="I19:J19"/>
    <mergeCell ref="I20:J28"/>
    <mergeCell ref="L20:M20"/>
    <mergeCell ref="N20:O20"/>
    <mergeCell ref="A22:A25"/>
    <mergeCell ref="B22:C22"/>
    <mergeCell ref="B24:C24"/>
    <mergeCell ref="Q24:R24"/>
    <mergeCell ref="U24:V24"/>
    <mergeCell ref="B25:C25"/>
    <mergeCell ref="L25:M25"/>
    <mergeCell ref="N25:O25"/>
    <mergeCell ref="Q25:R25"/>
    <mergeCell ref="U25:V26"/>
    <mergeCell ref="L12:M12"/>
    <mergeCell ref="I13:J13"/>
    <mergeCell ref="I14:J18"/>
    <mergeCell ref="L14:M14"/>
    <mergeCell ref="N14:O14"/>
    <mergeCell ref="L15:M15"/>
    <mergeCell ref="N15:O15"/>
    <mergeCell ref="L16:M16"/>
    <mergeCell ref="N16:O16"/>
    <mergeCell ref="Q3:Q6"/>
    <mergeCell ref="B4:C4"/>
    <mergeCell ref="B5:C5"/>
    <mergeCell ref="K5:K9"/>
    <mergeCell ref="B6:C6"/>
    <mergeCell ref="A7:B7"/>
    <mergeCell ref="Q7:Q9"/>
    <mergeCell ref="A1:G1"/>
    <mergeCell ref="I1:O1"/>
    <mergeCell ref="A2:G2"/>
    <mergeCell ref="I2:O2"/>
    <mergeCell ref="B3:C3"/>
    <mergeCell ref="D3:G3"/>
    <mergeCell ref="I3:J9"/>
    <mergeCell ref="K3:M3"/>
    <mergeCell ref="A9:A16"/>
    <mergeCell ref="I10:J10"/>
    <mergeCell ref="K10:O10"/>
    <mergeCell ref="I11:J12"/>
    <mergeCell ref="K11:K12"/>
    <mergeCell ref="L11:M11"/>
    <mergeCell ref="N11:N12"/>
    <mergeCell ref="O11:O12"/>
    <mergeCell ref="Q11:R11"/>
  </mergeCells>
  <dataValidations count="1">
    <dataValidation type="list" allowBlank="1" showInputMessage="1" showErrorMessage="1" sqref="S24" xr:uid="{AF5389CB-4EBE-4A02-890D-D03B466669CC}">
      <formula1>"Sucre,DMS,LMS,Eau"</formula1>
    </dataValidation>
  </dataValidations>
  <hyperlinks>
    <hyperlink ref="Q12" r:id="rId1" xr:uid="{354AC98D-053F-45C8-A50B-B5E8B2F0C4CF}"/>
    <hyperlink ref="Q13" r:id="rId2" xr:uid="{DF7964DE-A25B-4935-81F1-D128313B9757}"/>
  </hyperlinks>
  <pageMargins left="0.7" right="0.7" top="0.75" bottom="0.75" header="0.3" footer="0.3"/>
  <pageSetup paperSize="9" orientation="portrait" r:id="rId3"/>
  <drawing r:id="rId4"/>
  <extLst>
    <ext xmlns:x14="http://schemas.microsoft.com/office/spreadsheetml/2009/9/main" uri="{CCE6A557-97BC-4b89-ADB6-D9C93CAAB3DF}">
      <x14:dataValidations xmlns:xm="http://schemas.microsoft.com/office/excel/2006/main" count="7">
        <x14:dataValidation type="list" allowBlank="1" showInputMessage="1" showErrorMessage="1" xr:uid="{F173B988-A37B-4125-97CF-181EF17FBCE8}">
          <x14:formula1>
            <xm:f>INGREDIENTS!$BD$8:$BD$182</xm:f>
          </x14:formula1>
          <xm:sqref>R7</xm:sqref>
        </x14:dataValidation>
        <x14:dataValidation type="list" allowBlank="1" showInputMessage="1" showErrorMessage="1" xr:uid="{836C15FF-DA09-4106-AFDD-64609F1B482A}">
          <x14:formula1>
            <xm:f>INGREDIENTS!$AF$6:$AF$33</xm:f>
          </x14:formula1>
          <xm:sqref>B47:B50</xm:sqref>
        </x14:dataValidation>
        <x14:dataValidation type="list" allowBlank="1" showInputMessage="1" showErrorMessage="1" xr:uid="{0F0A8D21-CFDF-41D4-9D1B-48BE2EB01F37}">
          <x14:formula1>
            <xm:f>INGREDIENTS!$R$6:$R$151</xm:f>
          </x14:formula1>
          <xm:sqref>B28:B43</xm:sqref>
        </x14:dataValidation>
        <x14:dataValidation type="list" allowBlank="1" showInputMessage="1" showErrorMessage="1" xr:uid="{F1E2D0A1-A826-428B-A73F-BAAB4E63DBCD}">
          <x14:formula1>
            <xm:f>INGREDIENTS!$AA$6:$AA$14</xm:f>
          </x14:formula1>
          <xm:sqref>D28:D43</xm:sqref>
        </x14:dataValidation>
        <x14:dataValidation type="list" allowBlank="1" showInputMessage="1" showErrorMessage="1" xr:uid="{4A40DD24-F4F5-40D0-81F4-B0AEFB81D622}">
          <x14:formula1>
            <xm:f>INGREDIENTS!$I$6:$I$23</xm:f>
          </x14:formula1>
          <xm:sqref>B17</xm:sqref>
        </x14:dataValidation>
        <x14:dataValidation type="list" allowBlank="1" showInputMessage="1" showErrorMessage="1" xr:uid="{3FBBB614-3C14-41E4-8B30-34CFEFD1C157}">
          <x14:formula1>
            <xm:f>INGREDIENTS!$AV$6:$AV$27</xm:f>
          </x14:formula1>
          <xm:sqref>B23:C25</xm:sqref>
        </x14:dataValidation>
        <x14:dataValidation type="list" allowBlank="1" showInputMessage="1" showErrorMessage="1" xr:uid="{F95B81EB-93F6-4DF4-A881-D4C38AED74AE}">
          <x14:formula1>
            <xm:f>INGREDIENTS!$A$6:$A$100</xm:f>
          </x14:formula1>
          <xm:sqref>B10:B16</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X75"/>
  <sheetViews>
    <sheetView zoomScale="90" zoomScaleNormal="90" workbookViewId="0">
      <selection sqref="A1:G1"/>
    </sheetView>
  </sheetViews>
  <sheetFormatPr baseColWidth="10" defaultColWidth="8.7109375" defaultRowHeight="15"/>
  <cols>
    <col min="1" max="1" width="10.5703125" bestFit="1" customWidth="1"/>
    <col min="2" max="2" width="18" bestFit="1" customWidth="1"/>
    <col min="3" max="3" width="9" bestFit="1" customWidth="1"/>
    <col min="5" max="5" width="9.5703125" bestFit="1" customWidth="1"/>
    <col min="7" max="7" width="10.140625" bestFit="1" customWidth="1"/>
    <col min="8" max="8" width="2.85546875" customWidth="1"/>
    <col min="9" max="9" width="11.42578125" customWidth="1"/>
    <col min="11" max="11" width="16.42578125" customWidth="1"/>
    <col min="12" max="12" width="9.5703125" customWidth="1"/>
    <col min="14" max="14" width="10.140625" bestFit="1" customWidth="1"/>
    <col min="17" max="17" width="10.140625" customWidth="1"/>
    <col min="18" max="18" width="10.42578125" bestFit="1" customWidth="1"/>
    <col min="19" max="19" width="12.85546875" bestFit="1" customWidth="1"/>
    <col min="22" max="22" width="11.42578125" bestFit="1" customWidth="1"/>
    <col min="23" max="23" width="9.5703125" customWidth="1"/>
  </cols>
  <sheetData>
    <row r="1" spans="1:24" ht="30.75" thickBot="1">
      <c r="A1" s="758" t="s">
        <v>664</v>
      </c>
      <c r="B1" s="759"/>
      <c r="C1" s="759"/>
      <c r="D1" s="759"/>
      <c r="E1" s="759"/>
      <c r="F1" s="759"/>
      <c r="G1" s="760"/>
      <c r="H1" s="200"/>
      <c r="I1" s="761" t="s">
        <v>665</v>
      </c>
      <c r="J1" s="762"/>
      <c r="K1" s="762"/>
      <c r="L1" s="762"/>
      <c r="M1" s="762"/>
      <c r="N1" s="762"/>
      <c r="O1" s="763"/>
    </row>
    <row r="2" spans="1:24" ht="56.1" customHeight="1" thickBot="1">
      <c r="A2" s="764" t="s">
        <v>715</v>
      </c>
      <c r="B2" s="764"/>
      <c r="C2" s="764"/>
      <c r="D2" s="764"/>
      <c r="E2" s="764"/>
      <c r="F2" s="764"/>
      <c r="G2" s="764"/>
      <c r="H2" s="201"/>
      <c r="I2" s="978" t="s">
        <v>856</v>
      </c>
      <c r="J2" s="979"/>
      <c r="K2" s="979"/>
      <c r="L2" s="979"/>
      <c r="M2" s="979"/>
      <c r="N2" s="979"/>
      <c r="O2" s="979"/>
    </row>
    <row r="3" spans="1:24" ht="14.45" customHeight="1">
      <c r="A3" s="142" t="s">
        <v>601</v>
      </c>
      <c r="B3" s="767" t="s">
        <v>663</v>
      </c>
      <c r="C3" s="768"/>
      <c r="D3" s="769" t="s">
        <v>602</v>
      </c>
      <c r="E3" s="770"/>
      <c r="F3" s="770"/>
      <c r="G3" s="771"/>
      <c r="H3" s="15"/>
      <c r="I3" s="772" t="s">
        <v>615</v>
      </c>
      <c r="J3" s="773"/>
      <c r="K3" s="778" t="s">
        <v>616</v>
      </c>
      <c r="L3" s="779"/>
      <c r="M3" s="780"/>
      <c r="N3" s="172">
        <v>20</v>
      </c>
      <c r="O3" s="173">
        <v>75.840814005243004</v>
      </c>
      <c r="Q3" s="744" t="s">
        <v>624</v>
      </c>
      <c r="R3" s="47" t="s">
        <v>871</v>
      </c>
      <c r="S3" s="47" t="s">
        <v>873</v>
      </c>
      <c r="T3" s="47" t="s">
        <v>875</v>
      </c>
      <c r="U3" s="47" t="s">
        <v>877</v>
      </c>
      <c r="V3" s="47" t="s">
        <v>879</v>
      </c>
      <c r="W3" s="47" t="s">
        <v>881</v>
      </c>
      <c r="X3" s="47" t="s">
        <v>23</v>
      </c>
    </row>
    <row r="4" spans="1:24" ht="14.45" customHeight="1">
      <c r="A4" s="143" t="s">
        <v>603</v>
      </c>
      <c r="B4" s="747">
        <v>20</v>
      </c>
      <c r="C4" s="748"/>
      <c r="D4" s="37" t="s">
        <v>604</v>
      </c>
      <c r="E4" s="134">
        <v>1.0549999999999999</v>
      </c>
      <c r="F4" s="37" t="s">
        <v>612</v>
      </c>
      <c r="G4" s="144">
        <f>(76.08*(E4-E5)/(1.775-E4))*(E5/0.794)</f>
        <v>5.5327279596977235</v>
      </c>
      <c r="H4" s="202"/>
      <c r="I4" s="774"/>
      <c r="J4" s="775"/>
      <c r="K4" s="980" t="s">
        <v>619</v>
      </c>
      <c r="L4" s="981"/>
      <c r="M4" s="982"/>
      <c r="N4" s="213"/>
      <c r="O4" s="214"/>
      <c r="Q4" s="745"/>
      <c r="R4" s="307" t="s">
        <v>872</v>
      </c>
      <c r="S4" s="307" t="s">
        <v>874</v>
      </c>
      <c r="T4" s="307" t="s">
        <v>876</v>
      </c>
      <c r="U4" s="307" t="s">
        <v>878</v>
      </c>
      <c r="V4" s="307" t="s">
        <v>880</v>
      </c>
      <c r="W4" s="307" t="s">
        <v>882</v>
      </c>
      <c r="X4" s="47"/>
    </row>
    <row r="5" spans="1:24" ht="14.45" customHeight="1">
      <c r="A5" s="143" t="s">
        <v>605</v>
      </c>
      <c r="B5" s="749">
        <v>45352</v>
      </c>
      <c r="C5" s="750"/>
      <c r="D5" s="37" t="s">
        <v>606</v>
      </c>
      <c r="E5" s="134">
        <v>1.014</v>
      </c>
      <c r="F5" s="37" t="s">
        <v>614</v>
      </c>
      <c r="G5" s="258">
        <v>2.5</v>
      </c>
      <c r="H5" s="203"/>
      <c r="I5" s="774"/>
      <c r="J5" s="775"/>
      <c r="K5" s="751" t="s">
        <v>622</v>
      </c>
      <c r="L5" s="121" t="s">
        <v>609</v>
      </c>
      <c r="M5" s="36">
        <v>68</v>
      </c>
      <c r="N5" s="27">
        <v>60</v>
      </c>
      <c r="O5" s="174"/>
      <c r="Q5" s="745"/>
      <c r="R5" s="318">
        <v>56.9</v>
      </c>
      <c r="S5" s="318">
        <v>149.5</v>
      </c>
      <c r="T5" s="318">
        <v>115.9</v>
      </c>
      <c r="U5" s="318">
        <v>18.600000000000001</v>
      </c>
      <c r="V5" s="318">
        <v>41.5</v>
      </c>
      <c r="W5" s="318">
        <v>308.2</v>
      </c>
      <c r="X5" s="29">
        <v>7.3</v>
      </c>
    </row>
    <row r="6" spans="1:24" ht="14.45" customHeight="1">
      <c r="A6" s="143"/>
      <c r="B6" s="749"/>
      <c r="C6" s="750"/>
      <c r="D6" s="37" t="s">
        <v>608</v>
      </c>
      <c r="E6" s="135">
        <f>C20</f>
        <v>11.221764595472221</v>
      </c>
      <c r="F6" s="37" t="s">
        <v>618</v>
      </c>
      <c r="G6" s="144">
        <f>E7/((E4-1)*1000)</f>
        <v>0.44408364494480634</v>
      </c>
      <c r="H6" s="202"/>
      <c r="I6" s="774"/>
      <c r="J6" s="775"/>
      <c r="K6" s="752"/>
      <c r="L6" s="121" t="s">
        <v>611</v>
      </c>
      <c r="M6" s="36" t="s">
        <v>623</v>
      </c>
      <c r="N6" s="27" t="s">
        <v>623</v>
      </c>
      <c r="O6" s="174"/>
      <c r="Q6" s="746"/>
      <c r="R6" s="308"/>
      <c r="S6" s="308"/>
      <c r="T6" s="308"/>
      <c r="U6" s="308"/>
      <c r="V6" s="308"/>
      <c r="W6" s="308"/>
      <c r="X6" s="308"/>
    </row>
    <row r="7" spans="1:24" ht="18" thickBot="1">
      <c r="A7" s="754" t="s">
        <v>607</v>
      </c>
      <c r="B7" s="755"/>
      <c r="C7" s="206">
        <f>N17</f>
        <v>0</v>
      </c>
      <c r="D7" s="145" t="s">
        <v>610</v>
      </c>
      <c r="E7" s="215">
        <f>G44</f>
        <v>24.424600471964322</v>
      </c>
      <c r="F7" s="146" t="s">
        <v>621</v>
      </c>
      <c r="G7" s="147">
        <f>E7/(0.1808*(259-(259/E4))+(0.8192*(259-(259/E5))))</f>
        <v>4.5478041679537817</v>
      </c>
      <c r="H7" s="204"/>
      <c r="I7" s="774"/>
      <c r="J7" s="775"/>
      <c r="K7" s="752"/>
      <c r="L7" s="121" t="s">
        <v>613</v>
      </c>
      <c r="M7" s="36" t="s">
        <v>623</v>
      </c>
      <c r="N7" s="27" t="s">
        <v>623</v>
      </c>
      <c r="O7" s="174"/>
      <c r="Q7" s="756" t="s">
        <v>917</v>
      </c>
      <c r="R7" s="946" t="s">
        <v>1011</v>
      </c>
      <c r="S7" s="948"/>
      <c r="T7" s="308"/>
      <c r="U7" s="308"/>
      <c r="V7" s="308"/>
      <c r="W7" s="308"/>
      <c r="X7" s="321"/>
    </row>
    <row r="8" spans="1:24" ht="18" thickBot="1">
      <c r="A8" s="15"/>
      <c r="B8" s="140"/>
      <c r="C8" s="141"/>
      <c r="F8" s="136"/>
      <c r="G8" s="136"/>
      <c r="H8" s="136"/>
      <c r="I8" s="774"/>
      <c r="J8" s="775"/>
      <c r="K8" s="752"/>
      <c r="L8" s="121" t="s">
        <v>617</v>
      </c>
      <c r="M8" s="36">
        <v>78</v>
      </c>
      <c r="N8" s="27">
        <v>10</v>
      </c>
      <c r="O8" s="174"/>
      <c r="Q8" s="757"/>
      <c r="R8" s="320" t="e">
        <f>VLOOKUP(R7,INGREDIENTS!$BD$8:$CA$185,2,FALSE)</f>
        <v>#N/A</v>
      </c>
      <c r="S8" s="320" t="e">
        <f>VLOOKUP($R$7,INGREDIENTS!$BD$8:$CA$185,5,FALSE)</f>
        <v>#N/A</v>
      </c>
      <c r="T8" s="320" t="e">
        <f>VLOOKUP($R$7,INGREDIENTS!$BD$8:$CA$185,8,FALSE)</f>
        <v>#N/A</v>
      </c>
      <c r="U8" s="320" t="e">
        <f>VLOOKUP($R$7,INGREDIENTS!$BD$8:$CA$185,11,FALSE)</f>
        <v>#N/A</v>
      </c>
      <c r="V8" s="320" t="e">
        <f>VLOOKUP($R$7,INGREDIENTS!$BD$8:$CA$185,14,FALSE)</f>
        <v>#N/A</v>
      </c>
      <c r="W8" s="320" t="e">
        <f>VLOOKUP($R$7,INGREDIENTS!$BD$8:$CA$185,17,FALSE)</f>
        <v>#N/A</v>
      </c>
      <c r="X8" s="322"/>
    </row>
    <row r="9" spans="1:24" ht="17.45" customHeight="1" thickBot="1">
      <c r="A9" s="781" t="s">
        <v>634</v>
      </c>
      <c r="B9" s="148" t="s">
        <v>1</v>
      </c>
      <c r="C9" s="148" t="s">
        <v>2</v>
      </c>
      <c r="D9" s="148" t="s">
        <v>632</v>
      </c>
      <c r="E9" s="148" t="s">
        <v>23</v>
      </c>
      <c r="F9" s="148" t="s">
        <v>633</v>
      </c>
      <c r="G9" s="149" t="s">
        <v>666</v>
      </c>
      <c r="H9" s="15"/>
      <c r="I9" s="776"/>
      <c r="J9" s="777"/>
      <c r="K9" s="753"/>
      <c r="L9" s="175" t="s">
        <v>620</v>
      </c>
      <c r="M9" s="176">
        <v>67</v>
      </c>
      <c r="N9" s="177">
        <f>SUM(N5:N7)</f>
        <v>60</v>
      </c>
      <c r="O9" s="178"/>
      <c r="Q9" s="757"/>
      <c r="R9" s="320" t="e">
        <f>VLOOKUP(R7,INGREDIENTS!$BD$8:$CA$185,3,FALSE)</f>
        <v>#N/A</v>
      </c>
      <c r="S9" s="320" t="e">
        <f>VLOOKUP($R$7,INGREDIENTS!$BD$8:$CA$185,6,FALSE)</f>
        <v>#N/A</v>
      </c>
      <c r="T9" s="320" t="e">
        <f>VLOOKUP($R$7,INGREDIENTS!$BD$8:$CA$185,9,FALSE)</f>
        <v>#N/A</v>
      </c>
      <c r="U9" s="320" t="e">
        <f>VLOOKUP($R$7,INGREDIENTS!$BD$8:$CA$185,12,FALSE)</f>
        <v>#N/A</v>
      </c>
      <c r="V9" s="320" t="e">
        <f>VLOOKUP($R$7,INGREDIENTS!$BD$8:$CA$185,15,FALSE)</f>
        <v>#N/A</v>
      </c>
      <c r="W9" s="320" t="e">
        <f>VLOOKUP($R$7,INGREDIENTS!$BD$8:$CA$185,18,FALSE)</f>
        <v>#N/A</v>
      </c>
      <c r="X9" s="308"/>
    </row>
    <row r="10" spans="1:24" ht="15" customHeight="1" thickBot="1">
      <c r="A10" s="782"/>
      <c r="B10" s="32" t="s">
        <v>19</v>
      </c>
      <c r="C10" s="237">
        <f>VLOOKUP(B10,INGREDIENTS!$A$6:$E$121,3,FALSE)</f>
        <v>8.5</v>
      </c>
      <c r="D10" s="34">
        <f>VLOOKUP(B10,INGREDIENTS!$A$6:$E$121,2,FALSE)</f>
        <v>0.81</v>
      </c>
      <c r="E10" s="35">
        <f>VLOOKUP(B10,INGREDIENTS!$A$6:$E$121,5,FALSE)</f>
        <v>5.7</v>
      </c>
      <c r="F10" s="26">
        <v>3750</v>
      </c>
      <c r="G10" s="150">
        <f>F10/$F$20</f>
        <v>0.69767441860465118</v>
      </c>
      <c r="H10" s="25"/>
      <c r="I10" s="801" t="s">
        <v>714</v>
      </c>
      <c r="J10" s="801"/>
      <c r="K10" s="801"/>
      <c r="L10" s="801"/>
      <c r="M10" s="801"/>
      <c r="N10" s="801"/>
      <c r="O10" s="801"/>
    </row>
    <row r="11" spans="1:24" ht="43.5" customHeight="1">
      <c r="A11" s="782"/>
      <c r="B11" s="32" t="s">
        <v>26</v>
      </c>
      <c r="C11" s="237">
        <f>VLOOKUP(B11,INGREDIENTS!$A$6:$E$121,3,FALSE)</f>
        <v>5</v>
      </c>
      <c r="D11" s="34">
        <f>VLOOKUP(B11,INGREDIENTS!$A$6:$E$121,2,FALSE)</f>
        <v>0.7</v>
      </c>
      <c r="E11" s="35">
        <f>VLOOKUP(B11,INGREDIENTS!$A$6:$E$121,5,FALSE)</f>
        <v>5.2</v>
      </c>
      <c r="F11" s="26">
        <v>1250</v>
      </c>
      <c r="G11" s="150">
        <f t="shared" ref="G11:G18" si="0">F11/$F$20</f>
        <v>0.23255813953488372</v>
      </c>
      <c r="H11" s="25"/>
      <c r="I11" s="786" t="s">
        <v>626</v>
      </c>
      <c r="J11" s="787"/>
      <c r="K11" s="790" t="s">
        <v>627</v>
      </c>
      <c r="L11" s="792">
        <v>13</v>
      </c>
      <c r="M11" s="793"/>
      <c r="N11" s="794"/>
      <c r="O11" s="796"/>
      <c r="Q11" s="798" t="s">
        <v>682</v>
      </c>
      <c r="R11" s="798"/>
    </row>
    <row r="12" spans="1:24" ht="15" customHeight="1" thickBot="1">
      <c r="A12" s="782"/>
      <c r="B12" s="32" t="s">
        <v>29</v>
      </c>
      <c r="C12" s="237">
        <f>VLOOKUP(B12,INGREDIENTS!$A$6:$E$121,3,FALSE)</f>
        <v>5</v>
      </c>
      <c r="D12" s="34">
        <f>VLOOKUP(B12,INGREDIENTS!$A$6:$E$121,2,FALSE)</f>
        <v>0.77</v>
      </c>
      <c r="E12" s="35">
        <f>VLOOKUP(B12,INGREDIENTS!$A$6:$E$121,5,FALSE)</f>
        <v>5.2</v>
      </c>
      <c r="F12" s="26">
        <v>375</v>
      </c>
      <c r="G12" s="150">
        <f t="shared" si="0"/>
        <v>6.9767441860465115E-2</v>
      </c>
      <c r="H12" s="25"/>
      <c r="I12" s="788"/>
      <c r="J12" s="789"/>
      <c r="K12" s="791"/>
      <c r="L12" s="799">
        <v>78</v>
      </c>
      <c r="M12" s="800"/>
      <c r="N12" s="795"/>
      <c r="O12" s="797"/>
      <c r="Q12" s="304" t="s">
        <v>870</v>
      </c>
    </row>
    <row r="13" spans="1:24" ht="14.45" customHeight="1" thickBot="1">
      <c r="A13" s="782"/>
      <c r="B13" s="32"/>
      <c r="C13" s="237"/>
      <c r="D13" s="34"/>
      <c r="E13" s="35"/>
      <c r="F13" s="26"/>
      <c r="G13" s="150">
        <f t="shared" si="0"/>
        <v>0</v>
      </c>
      <c r="H13" s="25"/>
      <c r="I13" s="801" t="s">
        <v>714</v>
      </c>
      <c r="J13" s="801"/>
      <c r="K13" s="30"/>
      <c r="L13" s="30"/>
      <c r="M13" s="31"/>
      <c r="N13" s="31"/>
      <c r="O13" s="28"/>
      <c r="Q13" s="304" t="s">
        <v>908</v>
      </c>
    </row>
    <row r="14" spans="1:24" ht="14.45" customHeight="1">
      <c r="A14" s="782"/>
      <c r="B14" s="32"/>
      <c r="C14" s="237"/>
      <c r="D14" s="34"/>
      <c r="E14" s="35"/>
      <c r="F14" s="26"/>
      <c r="G14" s="150">
        <f t="shared" si="0"/>
        <v>0</v>
      </c>
      <c r="H14" s="25"/>
      <c r="I14" s="802" t="s">
        <v>628</v>
      </c>
      <c r="J14" s="803"/>
      <c r="K14" s="205"/>
      <c r="L14" s="808" t="s">
        <v>737</v>
      </c>
      <c r="M14" s="809"/>
      <c r="N14" s="808" t="s">
        <v>630</v>
      </c>
      <c r="O14" s="810"/>
    </row>
    <row r="15" spans="1:24" ht="17.100000000000001" customHeight="1">
      <c r="A15" s="782"/>
      <c r="B15" s="32"/>
      <c r="C15" s="237"/>
      <c r="D15" s="34"/>
      <c r="E15" s="35"/>
      <c r="F15" s="26"/>
      <c r="G15" s="150">
        <f t="shared" si="0"/>
        <v>0</v>
      </c>
      <c r="H15" s="25"/>
      <c r="I15" s="804"/>
      <c r="J15" s="805"/>
      <c r="K15" s="38" t="s">
        <v>631</v>
      </c>
      <c r="L15" s="811">
        <v>1.05</v>
      </c>
      <c r="M15" s="812"/>
      <c r="N15" s="813"/>
      <c r="O15" s="814"/>
    </row>
    <row r="16" spans="1:24" ht="17.100000000000001" customHeight="1" thickBot="1">
      <c r="A16" s="783"/>
      <c r="B16" s="32"/>
      <c r="C16" s="237" t="str">
        <f>IFERROR(VLOOKUP(B16,INGREDIENTS!$A$6:$E$60,3,FALSE),"")</f>
        <v/>
      </c>
      <c r="D16" s="34" t="str">
        <f>IFERROR(VLOOKUP(B16,INGREDIENTS!$A$6:$E$60,2,FALSE),"")</f>
        <v/>
      </c>
      <c r="E16" s="35" t="str">
        <f>IFERROR(VLOOKUP(B16,INGREDIENTS!$A$6:$E$60,5,FALSE),"")</f>
        <v/>
      </c>
      <c r="F16" s="43"/>
      <c r="G16" s="150">
        <f t="shared" si="0"/>
        <v>0</v>
      </c>
      <c r="H16" s="25"/>
      <c r="I16" s="804"/>
      <c r="J16" s="805"/>
      <c r="K16" s="38" t="s">
        <v>603</v>
      </c>
      <c r="L16" s="815">
        <v>27</v>
      </c>
      <c r="M16" s="816"/>
      <c r="N16" s="817"/>
      <c r="O16" s="818"/>
    </row>
    <row r="17" spans="1:24" ht="17.100000000000001" customHeight="1" thickTop="1" thickBot="1">
      <c r="A17" s="832" t="s">
        <v>637</v>
      </c>
      <c r="B17" s="116"/>
      <c r="C17" s="238" t="str">
        <f>IFERROR(VLOOKUP(B17,INGREDIENTS!$I$6:$L$24,3,FALSE),"")</f>
        <v/>
      </c>
      <c r="D17" s="241" t="str">
        <f>IFERROR(VLOOKUP(B17,INGREDIENTS!$I$6:$L$24,2,FALSE),"")</f>
        <v/>
      </c>
      <c r="E17" s="117" t="str">
        <f>IFERROR(VLOOKUP(B17,INGREDIENTS!$I$6:$L$24,5,FALSE),"")</f>
        <v/>
      </c>
      <c r="F17" s="118"/>
      <c r="G17" s="150">
        <f t="shared" si="0"/>
        <v>0</v>
      </c>
      <c r="H17" s="25"/>
      <c r="I17" s="804"/>
      <c r="J17" s="805"/>
      <c r="K17" s="834" t="s">
        <v>607</v>
      </c>
      <c r="L17" s="836">
        <f>(2.57452*(L15-1)*L16*1000)/(F20*D20)</f>
        <v>0.82727807200238102</v>
      </c>
      <c r="M17" s="837"/>
      <c r="N17" s="840">
        <f>(2.57452*(N15-1)*N16*1000)/(F20*D20)</f>
        <v>0</v>
      </c>
      <c r="O17" s="841"/>
    </row>
    <row r="18" spans="1:24" ht="17.100000000000001" customHeight="1" thickTop="1" thickBot="1">
      <c r="A18" s="833"/>
      <c r="B18" s="166"/>
      <c r="C18" s="238" t="str">
        <f>IFERROR(VLOOKUP(B18,INGREDIENTS!$I$6:$L$24,3,FALSE),"")</f>
        <v/>
      </c>
      <c r="D18" s="241" t="str">
        <f>IFERROR(VLOOKUP(B18,INGREDIENTS!$I$6:$L$24,2,FALSE),"")</f>
        <v/>
      </c>
      <c r="E18" s="117" t="str">
        <f>IFERROR(VLOOKUP(B18,INGREDIENTS!$I$6:$L$24,5,FALSE),"")</f>
        <v/>
      </c>
      <c r="F18" s="118"/>
      <c r="G18" s="150">
        <f t="shared" si="0"/>
        <v>0</v>
      </c>
      <c r="H18" s="25"/>
      <c r="I18" s="806"/>
      <c r="J18" s="807"/>
      <c r="K18" s="835"/>
      <c r="L18" s="838"/>
      <c r="M18" s="839"/>
      <c r="N18" s="842"/>
      <c r="O18" s="843"/>
    </row>
    <row r="19" spans="1:24" ht="17.100000000000001" customHeight="1" thickBot="1">
      <c r="A19" s="167" t="s">
        <v>639</v>
      </c>
      <c r="B19" s="168" t="s">
        <v>640</v>
      </c>
      <c r="C19" s="216">
        <f>2.9396*((4.23*SUMPRODUCT(C10:C16,F10:F16)/1000)/L22)^0.6859</f>
        <v>11.221764595472221</v>
      </c>
      <c r="D19" s="169">
        <f>SUMPRODUCT(D10:D16,G10:G16)</f>
        <v>0.78162790697674422</v>
      </c>
      <c r="E19" s="300">
        <f>SUMPRODUCT(E10:E16,F10:F16)/$F$19</f>
        <v>5.5488372093023255</v>
      </c>
      <c r="F19" s="170">
        <f>SUM(F10:F16)</f>
        <v>5375</v>
      </c>
      <c r="G19" s="171">
        <f>SUM(G10:G16)</f>
        <v>1</v>
      </c>
      <c r="H19" s="197"/>
      <c r="I19" s="801" t="s">
        <v>714</v>
      </c>
      <c r="J19" s="801"/>
      <c r="K19" s="28"/>
      <c r="L19" s="28"/>
      <c r="M19" s="28"/>
      <c r="N19" s="28"/>
      <c r="O19" s="28"/>
    </row>
    <row r="20" spans="1:24" ht="17.45" customHeight="1" thickBot="1">
      <c r="A20" s="151" t="s">
        <v>639</v>
      </c>
      <c r="B20" s="152" t="s">
        <v>641</v>
      </c>
      <c r="C20" s="153">
        <f>2.9396*((4.23*SUMPRODUCT(C10:C18,F10:F18)/1000)/L22)^0.6859</f>
        <v>11.221764595472221</v>
      </c>
      <c r="D20" s="154">
        <f>SUMPRODUCT(D10:D18,G10:G18)</f>
        <v>0.78162790697674422</v>
      </c>
      <c r="E20" s="301">
        <f>SUMPRODUCT(E10:E18,F10:F18)/$F$20</f>
        <v>5.5488372093023255</v>
      </c>
      <c r="F20" s="155">
        <f>SUM(F10:F18)</f>
        <v>5375</v>
      </c>
      <c r="G20" s="156">
        <f>SUM(G10:G18)</f>
        <v>1</v>
      </c>
      <c r="H20" s="197"/>
      <c r="I20" s="844" t="s">
        <v>736</v>
      </c>
      <c r="J20" s="845"/>
      <c r="K20" s="181"/>
      <c r="L20" s="850" t="s">
        <v>737</v>
      </c>
      <c r="M20" s="851"/>
      <c r="N20" s="850" t="s">
        <v>630</v>
      </c>
      <c r="O20" s="852"/>
      <c r="Q20" s="819" t="s">
        <v>675</v>
      </c>
      <c r="R20" s="820"/>
      <c r="S20" s="821"/>
      <c r="U20" s="822" t="s">
        <v>912</v>
      </c>
      <c r="V20" s="823"/>
      <c r="W20" s="824"/>
    </row>
    <row r="21" spans="1:24" ht="18" customHeight="1" thickBot="1">
      <c r="I21" s="846"/>
      <c r="J21" s="847"/>
      <c r="K21" s="39" t="s">
        <v>631</v>
      </c>
      <c r="L21" s="825">
        <v>1.0549999999999999</v>
      </c>
      <c r="M21" s="826"/>
      <c r="N21" s="827"/>
      <c r="O21" s="828"/>
      <c r="Q21" s="829" t="s">
        <v>676</v>
      </c>
      <c r="R21" s="830"/>
      <c r="S21" s="104"/>
      <c r="U21" s="831" t="s">
        <v>916</v>
      </c>
      <c r="V21" s="831"/>
      <c r="W21" s="315">
        <f>E19</f>
        <v>5.5488372093023255</v>
      </c>
    </row>
    <row r="22" spans="1:24" ht="15.6" customHeight="1">
      <c r="A22" s="853" t="s">
        <v>643</v>
      </c>
      <c r="B22" s="856" t="s">
        <v>1</v>
      </c>
      <c r="C22" s="857"/>
      <c r="D22" s="856" t="s">
        <v>588</v>
      </c>
      <c r="E22" s="878"/>
      <c r="F22" s="857"/>
      <c r="G22" s="347" t="s">
        <v>644</v>
      </c>
      <c r="H22" s="15"/>
      <c r="I22" s="846"/>
      <c r="J22" s="847"/>
      <c r="K22" s="40" t="s">
        <v>603</v>
      </c>
      <c r="L22" s="872">
        <v>24</v>
      </c>
      <c r="M22" s="873"/>
      <c r="N22" s="874"/>
      <c r="O22" s="875"/>
      <c r="Q22" s="829" t="s">
        <v>677</v>
      </c>
      <c r="R22" s="830"/>
      <c r="S22" s="115"/>
      <c r="U22" s="831" t="s">
        <v>913</v>
      </c>
      <c r="V22" s="831"/>
      <c r="W22" s="315">
        <v>5.8</v>
      </c>
    </row>
    <row r="23" spans="1:24" ht="14.45" customHeight="1">
      <c r="A23" s="854"/>
      <c r="B23" s="858"/>
      <c r="C23" s="859"/>
      <c r="D23" s="879"/>
      <c r="E23" s="880"/>
      <c r="F23" s="881"/>
      <c r="G23" s="348"/>
      <c r="H23" s="28"/>
      <c r="I23" s="846"/>
      <c r="J23" s="847"/>
      <c r="K23" s="243" t="s">
        <v>635</v>
      </c>
      <c r="L23" s="876">
        <f>(L16-L22)*100/L16</f>
        <v>11.111111111111111</v>
      </c>
      <c r="M23" s="877"/>
      <c r="N23" s="876" t="e">
        <f>(N16-N22)*100/N16</f>
        <v>#DIV/0!</v>
      </c>
      <c r="O23" s="877"/>
      <c r="Q23" s="829" t="s">
        <v>678</v>
      </c>
      <c r="R23" s="830"/>
      <c r="S23" s="104"/>
      <c r="U23" s="860" t="s">
        <v>869</v>
      </c>
      <c r="V23" s="861"/>
      <c r="W23" s="315">
        <v>5.4</v>
      </c>
      <c r="X23" s="227"/>
    </row>
    <row r="24" spans="1:24" ht="14.45" customHeight="1" thickBot="1">
      <c r="A24" s="854"/>
      <c r="B24" s="858"/>
      <c r="C24" s="859"/>
      <c r="D24" s="858"/>
      <c r="E24" s="938"/>
      <c r="F24" s="938"/>
      <c r="G24" s="348"/>
      <c r="H24" s="28"/>
      <c r="I24" s="846"/>
      <c r="J24" s="847"/>
      <c r="K24" s="209" t="s">
        <v>636</v>
      </c>
      <c r="L24" s="210"/>
      <c r="M24" s="210"/>
      <c r="N24" s="211"/>
      <c r="O24" s="182">
        <f>((N15-1)*1000)*N16*2.57452-((N21-1)*1000)*N22*2.57452</f>
        <v>0</v>
      </c>
      <c r="Q24" s="829" t="s">
        <v>679</v>
      </c>
      <c r="R24" s="830"/>
      <c r="S24" s="50" t="s">
        <v>680</v>
      </c>
      <c r="U24" s="860" t="s">
        <v>915</v>
      </c>
      <c r="V24" s="861"/>
      <c r="W24" s="316">
        <v>20</v>
      </c>
      <c r="X24" s="227" t="s">
        <v>868</v>
      </c>
    </row>
    <row r="25" spans="1:24" ht="14.45" customHeight="1" thickBot="1">
      <c r="A25" s="855"/>
      <c r="B25" s="862"/>
      <c r="C25" s="863"/>
      <c r="D25" s="862"/>
      <c r="E25" s="939"/>
      <c r="F25" s="939"/>
      <c r="G25" s="349"/>
      <c r="H25" s="28"/>
      <c r="I25" s="846"/>
      <c r="J25" s="847"/>
      <c r="K25" s="40" t="s">
        <v>718</v>
      </c>
      <c r="L25" s="864">
        <v>10</v>
      </c>
      <c r="M25" s="865"/>
      <c r="N25" s="866">
        <v>85</v>
      </c>
      <c r="O25" s="867"/>
      <c r="Q25" s="829" t="s">
        <v>681</v>
      </c>
      <c r="R25" s="830"/>
      <c r="S25" s="131">
        <f>IF(S24="","",IF(S24="Sucre",(S23-S21)*1000*2.57452,IF(S24="DMS",(S23-S21)*1000*2.66,IF(S24="LMS",(S23-S21)*1000*3.24,IF(S24="Eau",1000*((S21-1)/(S23-1)*S22-S22)/S22)))))</f>
        <v>0</v>
      </c>
      <c r="U25" s="868" t="s">
        <v>914</v>
      </c>
      <c r="V25" s="869"/>
      <c r="W25" s="882">
        <v>0.8</v>
      </c>
    </row>
    <row r="26" spans="1:24" ht="14.45" customHeight="1" thickBot="1">
      <c r="I26" s="846"/>
      <c r="J26" s="847"/>
      <c r="K26" s="40" t="s">
        <v>716</v>
      </c>
      <c r="L26" s="864">
        <v>2</v>
      </c>
      <c r="M26" s="865"/>
      <c r="N26" s="866">
        <v>85</v>
      </c>
      <c r="O26" s="867"/>
      <c r="Q26" s="829" t="s">
        <v>681</v>
      </c>
      <c r="R26" s="830"/>
      <c r="S26" s="130">
        <f>S25*S22</f>
        <v>0</v>
      </c>
      <c r="U26" s="870"/>
      <c r="V26" s="871"/>
      <c r="W26" s="883"/>
    </row>
    <row r="27" spans="1:24" ht="30">
      <c r="A27" s="884" t="s">
        <v>649</v>
      </c>
      <c r="B27" s="157" t="s">
        <v>1</v>
      </c>
      <c r="C27" s="259" t="s">
        <v>650</v>
      </c>
      <c r="D27" s="157" t="s">
        <v>588</v>
      </c>
      <c r="E27" s="157" t="s">
        <v>647</v>
      </c>
      <c r="F27" s="157" t="s">
        <v>633</v>
      </c>
      <c r="G27" s="158" t="s">
        <v>651</v>
      </c>
      <c r="H27" s="15"/>
      <c r="I27" s="846"/>
      <c r="J27" s="847"/>
      <c r="K27" s="40" t="s">
        <v>717</v>
      </c>
      <c r="L27" s="864">
        <v>15</v>
      </c>
      <c r="M27" s="865"/>
      <c r="N27" s="866">
        <v>85</v>
      </c>
      <c r="O27" s="867"/>
      <c r="U27" s="860" t="s">
        <v>644</v>
      </c>
      <c r="V27" s="861"/>
      <c r="W27" s="317">
        <f>((POWER(10,-W23)-POWER(10,-W22))*W24)/(W25/100)/(1.206/1000)</f>
        <v>4.9672025561232473</v>
      </c>
    </row>
    <row r="28" spans="1:24" ht="14.45" customHeight="1" thickBot="1">
      <c r="A28" s="885"/>
      <c r="B28" s="137" t="s">
        <v>9</v>
      </c>
      <c r="C28" s="239">
        <f>IFERROR(VLOOKUP(B28,INGREDIENTS!$R$6:$U$151,4,FALSE), "")</f>
        <v>0.12</v>
      </c>
      <c r="D28" s="137" t="s">
        <v>2570</v>
      </c>
      <c r="E28" s="138">
        <v>30</v>
      </c>
      <c r="F28" s="139">
        <v>25</v>
      </c>
      <c r="G28" s="159">
        <f>IFERROR((VLOOKUP(D28,INGREDIENTS!$AA$6:$AB$14,2,FALSE))*((1.65*(0.000125^($L$31-1))*((1-EXP(-0.04*E28))/4.15))*C28*F28*1000)/($L$32),"")</f>
        <v>7.8577803126962955</v>
      </c>
      <c r="H28" s="198"/>
      <c r="I28" s="848"/>
      <c r="J28" s="849"/>
      <c r="K28" s="217" t="s">
        <v>718</v>
      </c>
      <c r="L28" s="887">
        <v>35</v>
      </c>
      <c r="M28" s="888"/>
      <c r="N28" s="889">
        <v>20</v>
      </c>
      <c r="O28" s="890"/>
    </row>
    <row r="29" spans="1:24" ht="14.45" customHeight="1" thickBot="1">
      <c r="A29" s="885"/>
      <c r="B29" s="137" t="s">
        <v>165</v>
      </c>
      <c r="C29" s="239">
        <f>IFERROR(VLOOKUP(B29,INGREDIENTS!$R$6:$U$151,4,FALSE), "")</f>
        <v>0.123</v>
      </c>
      <c r="D29" s="137" t="s">
        <v>2570</v>
      </c>
      <c r="E29" s="138">
        <v>30</v>
      </c>
      <c r="F29" s="139">
        <v>25</v>
      </c>
      <c r="G29" s="159">
        <f>IFERROR((VLOOKUP(D29,INGREDIENTS!$AA$6:$AB$14,2,FALSE))*((1.65*(0.000125^($L$31-1))*((1-EXP(-0.04*E29))/4.15))*C29*F29*1000)/($L$32),"")</f>
        <v>8.0542248205137046</v>
      </c>
      <c r="H29" s="198"/>
      <c r="I29" s="242" t="s">
        <v>714</v>
      </c>
      <c r="J29" s="218"/>
    </row>
    <row r="30" spans="1:24" ht="15" customHeight="1">
      <c r="A30" s="885"/>
      <c r="B30" s="137" t="s">
        <v>193</v>
      </c>
      <c r="C30" s="239">
        <f>IFERROR(VLOOKUP(B30,INGREDIENTS!$R$6:$U$151,4,FALSE), "")</f>
        <v>0.13</v>
      </c>
      <c r="D30" s="137" t="s">
        <v>2570</v>
      </c>
      <c r="E30" s="138">
        <v>30</v>
      </c>
      <c r="F30" s="139">
        <v>25</v>
      </c>
      <c r="G30" s="159">
        <f>IFERROR((VLOOKUP(D30,INGREDIENTS!$AA$6:$AB$14,2,FALSE))*((1.65*(0.000125^($L$31-1))*((1-EXP(-0.04*E30))/4.15))*C30*F30*1000)/($L$32),"")</f>
        <v>8.5125953387543216</v>
      </c>
      <c r="H30" s="198"/>
      <c r="I30" s="891" t="s">
        <v>638</v>
      </c>
      <c r="J30" s="892"/>
      <c r="K30" s="179"/>
      <c r="L30" s="897" t="s">
        <v>737</v>
      </c>
      <c r="M30" s="898"/>
      <c r="N30" s="180" t="s">
        <v>630</v>
      </c>
      <c r="O30" s="207"/>
    </row>
    <row r="31" spans="1:24" ht="15.6" customHeight="1">
      <c r="A31" s="885"/>
      <c r="B31" s="137"/>
      <c r="C31" s="239" t="str">
        <f>IFERROR(VLOOKUP(B31,INGREDIENTS!$R$6:$U$151,4,FALSE), "")</f>
        <v/>
      </c>
      <c r="D31" s="137"/>
      <c r="E31" s="138"/>
      <c r="F31" s="139"/>
      <c r="G31" s="159" t="str">
        <f>IFERROR((VLOOKUP(D31,INGREDIENTS!$AA$6:$AB$14,2,FALSE))*((1.65*(0.000125^($L$31-1))*((1-EXP(-0.04*E31))/4.15))*C31*F31*1000)/($L$32),"")</f>
        <v/>
      </c>
      <c r="H31" s="198"/>
      <c r="I31" s="893"/>
      <c r="J31" s="894"/>
      <c r="K31" s="49" t="s">
        <v>604</v>
      </c>
      <c r="L31" s="899">
        <v>1.0549999999999999</v>
      </c>
      <c r="M31" s="900"/>
      <c r="N31" s="901">
        <v>1.06</v>
      </c>
      <c r="O31" s="902"/>
    </row>
    <row r="32" spans="1:24" ht="15.6" customHeight="1">
      <c r="A32" s="885"/>
      <c r="B32" s="137" t="s">
        <v>9</v>
      </c>
      <c r="C32" s="239">
        <f>IFERROR(VLOOKUP(B32,INGREDIENTS!$R$6:$U$151,4,FALSE), "")</f>
        <v>0.12</v>
      </c>
      <c r="D32" s="137" t="s">
        <v>598</v>
      </c>
      <c r="E32" s="138" t="s">
        <v>755</v>
      </c>
      <c r="F32" s="139">
        <v>30</v>
      </c>
      <c r="G32" s="159" t="str">
        <f>IFERROR((VLOOKUP(D32,INGREDIENTS!$AA$6:$AB$14,2,FALSE))*((1.65*(0.000125^($L$31-1))*((1-EXP(-0.04*E32))/4.15))*C32*F32*1000)/($L$32),"")</f>
        <v/>
      </c>
      <c r="H32" s="198"/>
      <c r="I32" s="893"/>
      <c r="J32" s="894"/>
      <c r="K32" s="49" t="s">
        <v>603</v>
      </c>
      <c r="L32" s="903">
        <v>22</v>
      </c>
      <c r="M32" s="904"/>
      <c r="N32" s="905">
        <v>20</v>
      </c>
      <c r="O32" s="906"/>
    </row>
    <row r="33" spans="1:15" ht="17.100000000000001" customHeight="1">
      <c r="A33" s="885"/>
      <c r="B33" s="137" t="s">
        <v>165</v>
      </c>
      <c r="C33" s="239">
        <f>IFERROR(VLOOKUP(B33,INGREDIENTS!$R$6:$U$151,4,FALSE), "")</f>
        <v>0.123</v>
      </c>
      <c r="D33" s="137" t="s">
        <v>598</v>
      </c>
      <c r="E33" s="138" t="s">
        <v>755</v>
      </c>
      <c r="F33" s="139">
        <v>30</v>
      </c>
      <c r="G33" s="159" t="str">
        <f>IFERROR((VLOOKUP(D33,INGREDIENTS!$AA$6:$AB$14,2,FALSE))*((1.65*(0.000125^($L$31-1))*((1-EXP(-0.04*E33))/4.15))*C33*F33*1000)/($L$32),"")</f>
        <v/>
      </c>
      <c r="H33" s="198"/>
      <c r="I33" s="893"/>
      <c r="J33" s="894"/>
      <c r="K33" s="907" t="s">
        <v>642</v>
      </c>
      <c r="L33" s="909">
        <v>0.6952285714285712</v>
      </c>
      <c r="M33" s="910"/>
      <c r="N33" s="909">
        <f>(2.57452*N32*(N31-1)*1000)/(D20*F20)</f>
        <v>0.73535828622433863</v>
      </c>
      <c r="O33" s="913"/>
    </row>
    <row r="34" spans="1:15" ht="17.100000000000001" customHeight="1" thickBot="1">
      <c r="A34" s="885"/>
      <c r="B34" s="137" t="s">
        <v>193</v>
      </c>
      <c r="C34" s="239">
        <f>IFERROR(VLOOKUP(B34,INGREDIENTS!$R$6:$U$151,4,FALSE), "")</f>
        <v>0.13</v>
      </c>
      <c r="D34" s="137" t="s">
        <v>598</v>
      </c>
      <c r="E34" s="138" t="s">
        <v>755</v>
      </c>
      <c r="F34" s="139">
        <v>30</v>
      </c>
      <c r="G34" s="159" t="str">
        <f>IFERROR((VLOOKUP(D34,INGREDIENTS!$AA$6:$AB$14,2,FALSE))*((1.65*(0.000125^($L$31-1))*((1-EXP(-0.04*E34))/4.15))*C34*F34*1000)/($L$32),"")</f>
        <v/>
      </c>
      <c r="H34" s="198"/>
      <c r="I34" s="895"/>
      <c r="J34" s="896"/>
      <c r="K34" s="908"/>
      <c r="L34" s="911"/>
      <c r="M34" s="912"/>
      <c r="N34" s="911"/>
      <c r="O34" s="914"/>
    </row>
    <row r="35" spans="1:15" ht="17.100000000000001" customHeight="1" thickBot="1">
      <c r="A35" s="885"/>
      <c r="B35" s="137"/>
      <c r="C35" s="239" t="str">
        <f>IFERROR(VLOOKUP(B35,INGREDIENTS!$R$6:$U$151,4,FALSE), "")</f>
        <v/>
      </c>
      <c r="D35" s="137"/>
      <c r="E35" s="138"/>
      <c r="F35" s="139"/>
      <c r="G35" s="159" t="str">
        <f>IFERROR((VLOOKUP(D35,INGREDIENTS!$AA$6:$AB$14,2,FALSE))*((1.65*(0.000125^($L$31-1))*((1-EXP(-0.04*E35))/4.15))*C35*F35*1000)/($L$32),"")</f>
        <v/>
      </c>
      <c r="H35" s="198"/>
      <c r="I35" s="801" t="s">
        <v>714</v>
      </c>
      <c r="J35" s="801"/>
      <c r="K35" s="28"/>
      <c r="L35" s="28"/>
      <c r="M35" s="28"/>
      <c r="N35" s="28"/>
      <c r="O35" s="28"/>
    </row>
    <row r="36" spans="1:15" ht="14.45" customHeight="1">
      <c r="A36" s="885"/>
      <c r="B36" s="137" t="s">
        <v>9</v>
      </c>
      <c r="C36" s="239">
        <f>IFERROR(VLOOKUP(B36,INGREDIENTS!$R$6:$U$151,4,FALSE), "")</f>
        <v>0.12</v>
      </c>
      <c r="D36" s="137" t="s">
        <v>672</v>
      </c>
      <c r="E36" s="138" t="s">
        <v>753</v>
      </c>
      <c r="F36" s="139">
        <v>20</v>
      </c>
      <c r="G36" s="159" t="str">
        <f>IFERROR((VLOOKUP(D36,INGREDIENTS!$AA$6:$AB$14,2,FALSE))*((1.65*(0.000125^($L$31-1))*((1-EXP(-0.04*E36))/4.15))*C36*F36*1000)/($L$32),"")</f>
        <v/>
      </c>
      <c r="H36" s="198"/>
      <c r="I36" s="917" t="s">
        <v>645</v>
      </c>
      <c r="J36" s="918"/>
      <c r="K36" s="923" t="s">
        <v>674</v>
      </c>
      <c r="L36" s="183" t="s">
        <v>646</v>
      </c>
      <c r="M36" s="184" t="s">
        <v>647</v>
      </c>
      <c r="N36" s="185" t="s">
        <v>605</v>
      </c>
      <c r="O36" s="186" t="s">
        <v>648</v>
      </c>
    </row>
    <row r="37" spans="1:15" ht="14.45" customHeight="1">
      <c r="A37" s="885"/>
      <c r="B37" s="137" t="s">
        <v>165</v>
      </c>
      <c r="C37" s="239">
        <f>IFERROR(VLOOKUP(B37,INGREDIENTS!$R$6:$U$151,4,FALSE), "")</f>
        <v>0.123</v>
      </c>
      <c r="D37" s="137" t="s">
        <v>672</v>
      </c>
      <c r="E37" s="138" t="s">
        <v>753</v>
      </c>
      <c r="F37" s="139">
        <v>20</v>
      </c>
      <c r="G37" s="159" t="str">
        <f>IFERROR((VLOOKUP(D37,INGREDIENTS!$AA$6:$AB$14,2,FALSE))*((1.65*(0.000125^($L$31-1))*((1-EXP(-0.04*E37))/4.15))*C37*F37*1000)/($L$32),"")</f>
        <v/>
      </c>
      <c r="H37" s="198"/>
      <c r="I37" s="919"/>
      <c r="J37" s="920"/>
      <c r="K37" s="924"/>
      <c r="L37" s="44">
        <v>20</v>
      </c>
      <c r="M37" s="45">
        <v>20</v>
      </c>
      <c r="N37" s="46"/>
      <c r="O37" s="187"/>
    </row>
    <row r="38" spans="1:15" ht="14.45" customHeight="1">
      <c r="A38" s="885"/>
      <c r="B38" s="137" t="s">
        <v>193</v>
      </c>
      <c r="C38" s="239">
        <f>IFERROR(VLOOKUP(B38,INGREDIENTS!$R$6:$U$151,4,FALSE), "")</f>
        <v>0.13</v>
      </c>
      <c r="D38" s="137" t="s">
        <v>672</v>
      </c>
      <c r="E38" s="138" t="s">
        <v>754</v>
      </c>
      <c r="F38" s="139">
        <v>20</v>
      </c>
      <c r="G38" s="159" t="str">
        <f>IFERROR((VLOOKUP(D38,INGREDIENTS!$AA$6:$AB$14,2,FALSE))*((1.65*(0.000125^($L$31-1))*((1-EXP(-0.04*E38))/4.15))*C38*F38*1000)/($L$32),"")</f>
        <v/>
      </c>
      <c r="H38" s="198"/>
      <c r="I38" s="919"/>
      <c r="J38" s="920"/>
      <c r="K38" s="924"/>
      <c r="L38" s="33" t="s">
        <v>667</v>
      </c>
      <c r="M38" s="260" t="s">
        <v>807</v>
      </c>
      <c r="N38" s="46"/>
      <c r="O38" s="187"/>
    </row>
    <row r="39" spans="1:15" ht="14.45" customHeight="1">
      <c r="A39" s="885"/>
      <c r="B39" s="137"/>
      <c r="C39" s="239" t="str">
        <f>IFERROR(VLOOKUP(B39,INGREDIENTS!$R$6:$U$151,4,FALSE), "")</f>
        <v/>
      </c>
      <c r="D39" s="137"/>
      <c r="E39" s="138"/>
      <c r="F39" s="139"/>
      <c r="G39" s="159" t="str">
        <f>IFERROR((VLOOKUP(D39,INGREDIENTS!$AA$6:$AB$14,2,FALSE))*((1.65*(0.000125^($L$31-1))*((1-EXP(-0.04*E39))/4.15))*C39*F39*1000)/($L$32),"")</f>
        <v/>
      </c>
      <c r="H39" s="198"/>
      <c r="I39" s="919"/>
      <c r="J39" s="920"/>
      <c r="K39" s="924"/>
      <c r="L39" s="33" t="s">
        <v>668</v>
      </c>
      <c r="M39" s="45" t="s">
        <v>671</v>
      </c>
      <c r="N39" s="46"/>
      <c r="O39" s="187"/>
    </row>
    <row r="40" spans="1:15" ht="17.45" customHeight="1">
      <c r="A40" s="885"/>
      <c r="B40" s="137"/>
      <c r="C40" s="239" t="str">
        <f>IFERROR(VLOOKUP(B40,INGREDIENTS!$R$6:$U$151,4,FALSE), "")</f>
        <v/>
      </c>
      <c r="D40" s="137"/>
      <c r="E40" s="138"/>
      <c r="F40" s="139"/>
      <c r="G40" s="159" t="str">
        <f>IFERROR((VLOOKUP(D40,INGREDIENTS!$AA$6:$AB$14,2,FALSE))*((1.65*(0.000125^($L$31-1))*((1-EXP(-0.04*E40))/4.15))*C40*F40*1000)/($L$32),"")</f>
        <v/>
      </c>
      <c r="H40" s="199"/>
      <c r="I40" s="919"/>
      <c r="J40" s="920"/>
      <c r="K40" s="924"/>
      <c r="L40" s="33" t="s">
        <v>669</v>
      </c>
      <c r="M40" s="45" t="s">
        <v>672</v>
      </c>
      <c r="N40" s="46"/>
      <c r="O40" s="187"/>
    </row>
    <row r="41" spans="1:15" ht="14.45" customHeight="1">
      <c r="A41" s="885"/>
      <c r="B41" s="137"/>
      <c r="C41" s="239" t="str">
        <f>IFERROR(VLOOKUP(B41,INGREDIENTS!$R$6:$U$151,4,FALSE), "")</f>
        <v/>
      </c>
      <c r="D41" s="137"/>
      <c r="E41" s="138"/>
      <c r="F41" s="139"/>
      <c r="G41" s="159" t="str">
        <f>IFERROR((VLOOKUP(D41,INGREDIENTS!$AA$6:$AB$14,2,FALSE))*((1.65*(0.000125^($L$31-1))*((1-EXP(-0.04*E41))/4.15))*C41*F41*1000)/($L$32),"")</f>
        <v/>
      </c>
      <c r="H41" s="28"/>
      <c r="I41" s="919"/>
      <c r="J41" s="920"/>
      <c r="K41" s="924"/>
      <c r="L41" s="33" t="s">
        <v>670</v>
      </c>
      <c r="M41" s="45" t="s">
        <v>673</v>
      </c>
      <c r="N41" s="46"/>
      <c r="O41" s="187"/>
    </row>
    <row r="42" spans="1:15" ht="14.45" customHeight="1">
      <c r="A42" s="885"/>
      <c r="B42" s="137"/>
      <c r="C42" s="239" t="str">
        <f>IFERROR(VLOOKUP(B42,INGREDIENTS!$R$6:$U$151,4,FALSE), "")</f>
        <v/>
      </c>
      <c r="D42" s="137"/>
      <c r="E42" s="138"/>
      <c r="F42" s="139"/>
      <c r="G42" s="159" t="str">
        <f>IFERROR((VLOOKUP(D42,INGREDIENTS!$AA$6:$AB$14,2,FALSE))*((1.65*(0.000125^($L$31-1))*((1-EXP(-0.04*E42))/4.15))*C42*F42*1000)/($L$32),"")</f>
        <v/>
      </c>
      <c r="H42" s="197"/>
      <c r="I42" s="919"/>
      <c r="J42" s="920"/>
      <c r="K42" s="925"/>
      <c r="L42" s="33" t="s">
        <v>723</v>
      </c>
      <c r="M42" s="45"/>
      <c r="N42" s="46"/>
      <c r="O42" s="187"/>
    </row>
    <row r="43" spans="1:15" ht="14.45" customHeight="1" thickBot="1">
      <c r="A43" s="886"/>
      <c r="B43" s="137"/>
      <c r="C43" s="239" t="str">
        <f>IFERROR(VLOOKUP(B43,INGREDIENTS!$R$6:$U$151,4,FALSE), "")</f>
        <v/>
      </c>
      <c r="D43" s="137"/>
      <c r="E43" s="138"/>
      <c r="F43" s="139"/>
      <c r="G43" s="159" t="str">
        <f>IFERROR((VLOOKUP(D43,INGREDIENTS!$AA$6:$AB$14,2,FALSE))*((1.65*(0.000125^($L$31-1))*((1-EXP(-0.04*E43))/4.15))*C43*F43*1000)/($L$32),"")</f>
        <v/>
      </c>
      <c r="H43" s="25"/>
      <c r="I43" s="919"/>
      <c r="J43" s="920"/>
      <c r="K43" s="926" t="s">
        <v>652</v>
      </c>
      <c r="L43" s="927"/>
      <c r="M43" s="927"/>
      <c r="N43" s="927"/>
      <c r="O43" s="928"/>
    </row>
    <row r="44" spans="1:15" ht="14.45" customHeight="1" thickBot="1">
      <c r="A44" s="160"/>
      <c r="B44" s="161" t="s">
        <v>656</v>
      </c>
      <c r="C44" s="162"/>
      <c r="D44" s="162"/>
      <c r="E44" s="163"/>
      <c r="F44" s="164">
        <f>SUM(F28:F43)</f>
        <v>225</v>
      </c>
      <c r="G44" s="165">
        <f>SUM(G28:G43)</f>
        <v>24.424600471964322</v>
      </c>
      <c r="H44" s="25"/>
      <c r="I44" s="919"/>
      <c r="J44" s="920"/>
      <c r="K44" s="929" t="s">
        <v>605</v>
      </c>
      <c r="L44" s="42" t="s">
        <v>631</v>
      </c>
      <c r="M44" s="42" t="s">
        <v>653</v>
      </c>
      <c r="N44" s="42"/>
      <c r="O44" s="188" t="s">
        <v>654</v>
      </c>
    </row>
    <row r="45" spans="1:15" ht="14.45" customHeight="1">
      <c r="H45" s="25"/>
      <c r="I45" s="919"/>
      <c r="J45" s="920"/>
      <c r="K45" s="924"/>
      <c r="L45" s="195"/>
      <c r="M45" s="119" t="s">
        <v>623</v>
      </c>
      <c r="N45" s="120" t="s">
        <v>623</v>
      </c>
      <c r="O45" s="189" t="s">
        <v>623</v>
      </c>
    </row>
    <row r="46" spans="1:15" ht="18.600000000000001" customHeight="1">
      <c r="A46" s="931" t="s">
        <v>657</v>
      </c>
      <c r="B46" s="196" t="s">
        <v>1</v>
      </c>
      <c r="C46" s="2" t="s">
        <v>752</v>
      </c>
      <c r="D46" s="196" t="s">
        <v>69</v>
      </c>
      <c r="E46" s="196" t="s">
        <v>70</v>
      </c>
      <c r="F46" s="934" t="s">
        <v>658</v>
      </c>
      <c r="G46" s="935"/>
      <c r="H46" s="25"/>
      <c r="I46" s="919"/>
      <c r="J46" s="920"/>
      <c r="K46" s="924"/>
      <c r="L46" s="48"/>
      <c r="M46" s="119" t="s">
        <v>623</v>
      </c>
      <c r="N46" s="120" t="s">
        <v>623</v>
      </c>
      <c r="O46" s="189" t="s">
        <v>623</v>
      </c>
    </row>
    <row r="47" spans="1:15" ht="14.45" customHeight="1">
      <c r="A47" s="932"/>
      <c r="B47" s="3" t="s">
        <v>824</v>
      </c>
      <c r="C47" s="293" t="s">
        <v>735</v>
      </c>
      <c r="D47" s="240" t="str">
        <f>IFERROR(VLOOKUP(B47,INGREDIENTS!$AF$6:$AT$37,7,FALSE),"")</f>
        <v/>
      </c>
      <c r="E47" s="240" t="str">
        <f>IFERROR(VLOOKUP(B47,INGREDIENTS!$AF$6:$AT$37,8,FALSE),"")</f>
        <v/>
      </c>
      <c r="F47" s="936" t="str">
        <f>IFERROR(VLOOKUP(B47,INGREDIENTS!$AF$6:$AT$37,6,FALSE),"")</f>
        <v/>
      </c>
      <c r="G47" s="937"/>
      <c r="I47" s="919"/>
      <c r="J47" s="920"/>
      <c r="K47" s="924"/>
      <c r="L47" s="48"/>
      <c r="M47" s="119" t="s">
        <v>623</v>
      </c>
      <c r="N47" s="120" t="s">
        <v>623</v>
      </c>
      <c r="O47" s="189" t="s">
        <v>623</v>
      </c>
    </row>
    <row r="48" spans="1:15" ht="14.45" customHeight="1">
      <c r="A48" s="932"/>
      <c r="B48" s="3"/>
      <c r="C48" s="293"/>
      <c r="D48" s="240" t="str">
        <f>IFERROR(VLOOKUP(B48,INGREDIENTS!$AF$6:$AT$37,7,FALSE),"")</f>
        <v/>
      </c>
      <c r="E48" s="240" t="str">
        <f>IFERROR(VLOOKUP(B48,INGREDIENTS!$AF$6:$AT$37,7,FALSE),"")</f>
        <v/>
      </c>
      <c r="F48" s="936" t="str">
        <f>IFERROR(VLOOKUP(B48,INGREDIENTS!$AF$6:$AT$37,5,FALSE),"")</f>
        <v/>
      </c>
      <c r="G48" s="937"/>
      <c r="I48" s="919"/>
      <c r="J48" s="920"/>
      <c r="K48" s="924"/>
      <c r="L48" s="48"/>
      <c r="M48" s="119" t="s">
        <v>623</v>
      </c>
      <c r="N48" s="120" t="s">
        <v>623</v>
      </c>
      <c r="O48" s="189" t="s">
        <v>623</v>
      </c>
    </row>
    <row r="49" spans="1:15" ht="14.45" customHeight="1" thickBot="1">
      <c r="A49" s="932"/>
      <c r="B49" s="3"/>
      <c r="C49" s="293"/>
      <c r="D49" s="240" t="str">
        <f>IFERROR(VLOOKUP(B49,INGREDIENTS!$AF$6:$AT$37,7,FALSE),"")</f>
        <v/>
      </c>
      <c r="E49" s="240" t="str">
        <f>IFERROR(VLOOKUP(B49,INGREDIENTS!$AF$6:$AT$37,7,FALSE),"")</f>
        <v/>
      </c>
      <c r="F49" s="936" t="str">
        <f>IFERROR(VLOOKUP(B49,INGREDIENTS!$AF$6:$AT$37,5,FALSE),"")</f>
        <v/>
      </c>
      <c r="G49" s="937"/>
      <c r="I49" s="921"/>
      <c r="J49" s="922"/>
      <c r="K49" s="930"/>
      <c r="L49" s="190"/>
      <c r="M49" s="191"/>
      <c r="N49" s="192" t="s">
        <v>623</v>
      </c>
      <c r="O49" s="193" t="s">
        <v>623</v>
      </c>
    </row>
    <row r="50" spans="1:15" ht="15" customHeight="1" thickBot="1">
      <c r="A50" s="933"/>
      <c r="B50" s="3"/>
      <c r="C50" s="293"/>
      <c r="D50" s="240" t="str">
        <f>IFERROR(VLOOKUP(B50,INGREDIENTS!$AF$6:$AT$37,7,FALSE),"")</f>
        <v/>
      </c>
      <c r="E50" s="240" t="str">
        <f>IFERROR(VLOOKUP(B50,INGREDIENTS!$AF$6:$AT$37,7,FALSE),"")</f>
        <v/>
      </c>
      <c r="F50" s="936" t="str">
        <f>IFERROR(VLOOKUP(B50,INGREDIENTS!$AF$6:$AT$37,5,FALSE),"")</f>
        <v/>
      </c>
      <c r="G50" s="937"/>
      <c r="I50" s="801" t="s">
        <v>714</v>
      </c>
      <c r="J50" s="801"/>
    </row>
    <row r="51" spans="1:15" ht="14.45" customHeight="1">
      <c r="I51" s="960" t="s">
        <v>655</v>
      </c>
      <c r="J51" s="961"/>
      <c r="K51" s="194">
        <v>43857</v>
      </c>
      <c r="L51" s="966" t="s">
        <v>629</v>
      </c>
      <c r="M51" s="967"/>
      <c r="N51" s="966" t="s">
        <v>630</v>
      </c>
      <c r="O51" s="968"/>
    </row>
    <row r="52" spans="1:15" ht="14.45" customHeight="1">
      <c r="I52" s="962"/>
      <c r="J52" s="963"/>
      <c r="K52" s="208" t="s">
        <v>603</v>
      </c>
      <c r="L52" s="969">
        <v>20</v>
      </c>
      <c r="M52" s="970"/>
      <c r="N52" s="971">
        <v>17</v>
      </c>
      <c r="O52" s="972"/>
    </row>
    <row r="53" spans="1:15" ht="14.45" customHeight="1">
      <c r="I53" s="962"/>
      <c r="J53" s="963"/>
      <c r="K53" s="212" t="s">
        <v>606</v>
      </c>
      <c r="L53" s="973">
        <v>1.014</v>
      </c>
      <c r="M53" s="974"/>
      <c r="N53" s="975">
        <v>1.014</v>
      </c>
      <c r="O53" s="976"/>
    </row>
    <row r="54" spans="1:15" ht="14.45" customHeight="1">
      <c r="I54" s="962"/>
      <c r="J54" s="963"/>
      <c r="K54" s="208" t="s">
        <v>653</v>
      </c>
      <c r="L54" s="915" t="str">
        <f>F47</f>
        <v/>
      </c>
      <c r="M54" s="916"/>
      <c r="N54" s="915">
        <f>(N31-L53)/(N31-1)</f>
        <v>0.76666666666666672</v>
      </c>
      <c r="O54" s="952"/>
    </row>
    <row r="55" spans="1:15" ht="14.45" customHeight="1">
      <c r="I55" s="962"/>
      <c r="J55" s="963"/>
      <c r="K55" s="208" t="s">
        <v>659</v>
      </c>
      <c r="L55" s="953">
        <f>(76.08*(L31-L53)/(1.775-L31))*(L53/0.794)</f>
        <v>5.5327279596977235</v>
      </c>
      <c r="M55" s="954"/>
      <c r="N55" s="953">
        <v>0</v>
      </c>
      <c r="O55" s="977"/>
    </row>
    <row r="56" spans="1:15" ht="14.45" customHeight="1">
      <c r="I56" s="962"/>
      <c r="J56" s="963"/>
      <c r="K56" s="41" t="s">
        <v>660</v>
      </c>
      <c r="L56" s="955" t="s">
        <v>809</v>
      </c>
      <c r="M56" s="956"/>
      <c r="N56" s="955">
        <v>2.5</v>
      </c>
      <c r="O56" s="957"/>
    </row>
    <row r="57" spans="1:15" ht="14.45" customHeight="1">
      <c r="I57" s="962"/>
      <c r="J57" s="963"/>
      <c r="K57" s="958" t="s">
        <v>661</v>
      </c>
      <c r="L57" s="959"/>
      <c r="M57" s="958" t="s">
        <v>662</v>
      </c>
      <c r="N57" s="959"/>
      <c r="O57" s="219" t="s">
        <v>721</v>
      </c>
    </row>
    <row r="58" spans="1:15" ht="14.45" customHeight="1" thickBot="1">
      <c r="I58" s="962"/>
      <c r="J58" s="963"/>
      <c r="K58" s="940">
        <v>5.5</v>
      </c>
      <c r="L58" s="941"/>
      <c r="M58" s="942">
        <f>N52*K58</f>
        <v>93.5</v>
      </c>
      <c r="N58" s="943"/>
      <c r="O58" s="234">
        <v>1.6</v>
      </c>
    </row>
    <row r="59" spans="1:15">
      <c r="I59" s="962"/>
      <c r="J59" s="963"/>
      <c r="K59" s="944" t="s">
        <v>722</v>
      </c>
      <c r="L59" s="944"/>
      <c r="M59" s="945"/>
      <c r="N59" s="230" t="s">
        <v>719</v>
      </c>
      <c r="O59" s="231">
        <f>K58*0.75*1000/(M58/O58)</f>
        <v>70.588235294117652</v>
      </c>
    </row>
    <row r="60" spans="1:15" ht="15" customHeight="1" thickBot="1">
      <c r="I60" s="964"/>
      <c r="J60" s="965"/>
      <c r="K60" s="229"/>
      <c r="L60" s="229"/>
      <c r="M60" s="229"/>
      <c r="N60" s="232" t="s">
        <v>720</v>
      </c>
      <c r="O60" s="233">
        <f>K58*0.33*1000/(M58/O58)</f>
        <v>31.058823529411768</v>
      </c>
    </row>
    <row r="61" spans="1:15" ht="15.75" thickBot="1">
      <c r="I61" s="801" t="s">
        <v>714</v>
      </c>
      <c r="J61" s="801"/>
    </row>
    <row r="64" spans="1:15">
      <c r="O64" s="220"/>
    </row>
    <row r="65" spans="15:21">
      <c r="O65" s="220"/>
    </row>
    <row r="66" spans="15:21">
      <c r="O66" s="220"/>
      <c r="P66" s="221"/>
    </row>
    <row r="67" spans="15:21">
      <c r="O67" s="220"/>
      <c r="P67" s="221"/>
    </row>
    <row r="68" spans="15:21">
      <c r="O68" s="222"/>
      <c r="P68" s="223"/>
    </row>
    <row r="69" spans="15:21">
      <c r="O69" s="222"/>
      <c r="P69" s="223"/>
    </row>
    <row r="70" spans="15:21">
      <c r="O70" s="220"/>
      <c r="P70" s="224"/>
    </row>
    <row r="72" spans="15:21">
      <c r="R72" s="225"/>
      <c r="S72" s="226"/>
      <c r="U72" s="18"/>
    </row>
    <row r="73" spans="15:21">
      <c r="R73" s="225"/>
      <c r="S73" s="226"/>
      <c r="U73" s="18"/>
    </row>
    <row r="74" spans="15:21">
      <c r="R74" s="227"/>
      <c r="U74" s="16"/>
    </row>
    <row r="75" spans="15:21">
      <c r="O75" s="228"/>
      <c r="R75" s="225"/>
      <c r="S75" s="226"/>
      <c r="U75" s="16"/>
    </row>
  </sheetData>
  <mergeCells count="122">
    <mergeCell ref="U24:V24"/>
    <mergeCell ref="U25:V26"/>
    <mergeCell ref="W25:W26"/>
    <mergeCell ref="Q26:R26"/>
    <mergeCell ref="U27:V27"/>
    <mergeCell ref="Q3:Q6"/>
    <mergeCell ref="Q7:Q9"/>
    <mergeCell ref="R7:S7"/>
    <mergeCell ref="Q11:R11"/>
    <mergeCell ref="Q20:S20"/>
    <mergeCell ref="U20:W20"/>
    <mergeCell ref="U21:V21"/>
    <mergeCell ref="U22:V22"/>
    <mergeCell ref="U23:V23"/>
    <mergeCell ref="Q21:R21"/>
    <mergeCell ref="Q22:R22"/>
    <mergeCell ref="Q23:R23"/>
    <mergeCell ref="Q24:R24"/>
    <mergeCell ref="Q25:R25"/>
    <mergeCell ref="A9:A16"/>
    <mergeCell ref="A17:A18"/>
    <mergeCell ref="A46:A50"/>
    <mergeCell ref="A1:G1"/>
    <mergeCell ref="I1:O1"/>
    <mergeCell ref="B3:C3"/>
    <mergeCell ref="B4:C4"/>
    <mergeCell ref="B5:C5"/>
    <mergeCell ref="A7:B7"/>
    <mergeCell ref="A2:G2"/>
    <mergeCell ref="I2:O2"/>
    <mergeCell ref="D3:G3"/>
    <mergeCell ref="B6:C6"/>
    <mergeCell ref="I10:J10"/>
    <mergeCell ref="K10:O10"/>
    <mergeCell ref="I13:J13"/>
    <mergeCell ref="N33:O34"/>
    <mergeCell ref="L11:M11"/>
    <mergeCell ref="L12:M12"/>
    <mergeCell ref="N11:N12"/>
    <mergeCell ref="O11:O12"/>
    <mergeCell ref="K4:M4"/>
    <mergeCell ref="L26:M26"/>
    <mergeCell ref="N26:O26"/>
    <mergeCell ref="A22:A25"/>
    <mergeCell ref="M57:N57"/>
    <mergeCell ref="L32:M32"/>
    <mergeCell ref="L20:M20"/>
    <mergeCell ref="N20:O20"/>
    <mergeCell ref="L21:M21"/>
    <mergeCell ref="L22:M22"/>
    <mergeCell ref="N21:O21"/>
    <mergeCell ref="N22:O22"/>
    <mergeCell ref="N32:O32"/>
    <mergeCell ref="N31:O31"/>
    <mergeCell ref="L31:M31"/>
    <mergeCell ref="B23:C23"/>
    <mergeCell ref="B24:C24"/>
    <mergeCell ref="B25:C25"/>
    <mergeCell ref="B22:C22"/>
    <mergeCell ref="D22:F22"/>
    <mergeCell ref="D23:F23"/>
    <mergeCell ref="D24:F24"/>
    <mergeCell ref="D25:F25"/>
    <mergeCell ref="I3:J9"/>
    <mergeCell ref="K3:M3"/>
    <mergeCell ref="K5:K9"/>
    <mergeCell ref="I11:J12"/>
    <mergeCell ref="K11:K12"/>
    <mergeCell ref="I14:J18"/>
    <mergeCell ref="N27:O27"/>
    <mergeCell ref="L27:M27"/>
    <mergeCell ref="K17:K18"/>
    <mergeCell ref="L14:M14"/>
    <mergeCell ref="L15:M15"/>
    <mergeCell ref="L16:M16"/>
    <mergeCell ref="N14:O14"/>
    <mergeCell ref="L17:M18"/>
    <mergeCell ref="N15:O15"/>
    <mergeCell ref="N16:O16"/>
    <mergeCell ref="L23:M23"/>
    <mergeCell ref="N23:O23"/>
    <mergeCell ref="N17:O18"/>
    <mergeCell ref="L25:M25"/>
    <mergeCell ref="N25:O25"/>
    <mergeCell ref="I20:J28"/>
    <mergeCell ref="N28:O28"/>
    <mergeCell ref="L28:M28"/>
    <mergeCell ref="I19:J19"/>
    <mergeCell ref="K59:M59"/>
    <mergeCell ref="L55:M55"/>
    <mergeCell ref="L56:M56"/>
    <mergeCell ref="N53:O53"/>
    <mergeCell ref="N54:O54"/>
    <mergeCell ref="N55:O55"/>
    <mergeCell ref="K58:L58"/>
    <mergeCell ref="K57:L57"/>
    <mergeCell ref="M58:N58"/>
    <mergeCell ref="L53:M53"/>
    <mergeCell ref="L54:M54"/>
    <mergeCell ref="I61:J61"/>
    <mergeCell ref="L30:M30"/>
    <mergeCell ref="A27:A43"/>
    <mergeCell ref="F46:G46"/>
    <mergeCell ref="F47:G47"/>
    <mergeCell ref="F48:G48"/>
    <mergeCell ref="F49:G49"/>
    <mergeCell ref="F50:G50"/>
    <mergeCell ref="I51:J60"/>
    <mergeCell ref="I50:J50"/>
    <mergeCell ref="I35:J35"/>
    <mergeCell ref="I30:J34"/>
    <mergeCell ref="K33:K34"/>
    <mergeCell ref="L33:M34"/>
    <mergeCell ref="K43:O43"/>
    <mergeCell ref="I36:J49"/>
    <mergeCell ref="K36:K42"/>
    <mergeCell ref="K44:K49"/>
    <mergeCell ref="L51:M51"/>
    <mergeCell ref="L52:M52"/>
    <mergeCell ref="N51:O51"/>
    <mergeCell ref="N52:O52"/>
    <mergeCell ref="N56:O56"/>
  </mergeCells>
  <phoneticPr fontId="30" type="noConversion"/>
  <dataValidations count="1">
    <dataValidation type="list" allowBlank="1" showInputMessage="1" showErrorMessage="1" sqref="S24" xr:uid="{44514EAA-5ACB-4F13-ADEA-5EEA97E42F26}">
      <formula1>"Sucre,DMS,LMS,Eau"</formula1>
    </dataValidation>
  </dataValidations>
  <hyperlinks>
    <hyperlink ref="Q12" r:id="rId1" xr:uid="{6125FFC3-3BC9-4E44-9F23-DC538D9669A3}"/>
    <hyperlink ref="Q13" r:id="rId2" xr:uid="{826DF00D-2BD8-4A7C-A1D2-BA05818B67B3}"/>
  </hyperlinks>
  <pageMargins left="0.7" right="0.7" top="0.75" bottom="0.75" header="0.3" footer="0.3"/>
  <drawing r:id="rId3"/>
  <extLst>
    <ext xmlns:x14="http://schemas.microsoft.com/office/spreadsheetml/2009/9/main" uri="{CCE6A557-97BC-4b89-ADB6-D9C93CAAB3DF}">
      <x14:dataValidations xmlns:xm="http://schemas.microsoft.com/office/excel/2006/main" count="7">
        <x14:dataValidation type="list" allowBlank="1" showInputMessage="1" showErrorMessage="1" xr:uid="{D0705EAE-4C62-47CA-B428-41300A1BC58F}">
          <x14:formula1>
            <xm:f>INGREDIENTS!$AF$6:$AF$33</xm:f>
          </x14:formula1>
          <xm:sqref>B47:B50</xm:sqref>
        </x14:dataValidation>
        <x14:dataValidation type="list" allowBlank="1" showInputMessage="1" showErrorMessage="1" xr:uid="{8609CE7D-1AD3-45DB-A983-13ACF646C7A1}">
          <x14:formula1>
            <xm:f>INGREDIENTS!$R$6:$R$151</xm:f>
          </x14:formula1>
          <xm:sqref>B28:B43</xm:sqref>
        </x14:dataValidation>
        <x14:dataValidation type="list" allowBlank="1" showInputMessage="1" showErrorMessage="1" xr:uid="{8EB5BAE7-F3E0-49AF-8A16-EB706CEC74C3}">
          <x14:formula1>
            <xm:f>INGREDIENTS!$BD$8:$BD$182</xm:f>
          </x14:formula1>
          <xm:sqref>R7</xm:sqref>
        </x14:dataValidation>
        <x14:dataValidation type="list" allowBlank="1" showInputMessage="1" showErrorMessage="1" xr:uid="{6DEBAE5A-8A41-450E-B52F-726D8C367FDC}">
          <x14:formula1>
            <xm:f>INGREDIENTS!$AA$6:$AA$14</xm:f>
          </x14:formula1>
          <xm:sqref>D28:D43</xm:sqref>
        </x14:dataValidation>
        <x14:dataValidation type="list" allowBlank="1" showInputMessage="1" showErrorMessage="1" xr:uid="{B17C2CF5-9710-4F05-ABFF-BB2FE00B91FA}">
          <x14:formula1>
            <xm:f>INGREDIENTS!$I$6:$I$23</xm:f>
          </x14:formula1>
          <xm:sqref>B17</xm:sqref>
        </x14:dataValidation>
        <x14:dataValidation type="list" allowBlank="1" showInputMessage="1" showErrorMessage="1" xr:uid="{136AC297-DFB8-4563-A5A9-8D5BCF7F5C70}">
          <x14:formula1>
            <xm:f>INGREDIENTS!$AV$6:$AV$27</xm:f>
          </x14:formula1>
          <xm:sqref>B23:C25</xm:sqref>
        </x14:dataValidation>
        <x14:dataValidation type="list" allowBlank="1" showInputMessage="1" showErrorMessage="1" xr:uid="{D4CB45A7-1AB2-409B-A53E-1CFC5E19D953}">
          <x14:formula1>
            <xm:f>INGREDIENTS!$A$6:$A$121</xm:f>
          </x14:formula1>
          <xm:sqref>B10:B16</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BCCCEF-B740-46D2-B8BB-4D1A758694C9}">
  <dimension ref="A1:X75"/>
  <sheetViews>
    <sheetView zoomScaleNormal="100" workbookViewId="0">
      <selection activeCell="Q42" sqref="Q42"/>
    </sheetView>
  </sheetViews>
  <sheetFormatPr baseColWidth="10" defaultColWidth="8.7109375" defaultRowHeight="15"/>
  <cols>
    <col min="1" max="1" width="10.5703125" bestFit="1" customWidth="1"/>
    <col min="2" max="2" width="18" bestFit="1" customWidth="1"/>
    <col min="3" max="3" width="9" bestFit="1" customWidth="1"/>
    <col min="5" max="5" width="9.5703125" bestFit="1" customWidth="1"/>
    <col min="7" max="7" width="10.140625" bestFit="1" customWidth="1"/>
    <col min="8" max="8" width="2.85546875" customWidth="1"/>
    <col min="9" max="9" width="11.42578125" customWidth="1"/>
    <col min="11" max="11" width="16.42578125" customWidth="1"/>
    <col min="12" max="12" width="9.5703125" customWidth="1"/>
    <col min="14" max="14" width="10.140625" bestFit="1" customWidth="1"/>
    <col min="15" max="15" width="9.28515625" customWidth="1"/>
    <col min="17" max="17" width="10.42578125" customWidth="1"/>
    <col min="18" max="18" width="10.42578125" bestFit="1" customWidth="1"/>
    <col min="19" max="19" width="14" bestFit="1" customWidth="1"/>
    <col min="22" max="22" width="11.42578125" bestFit="1" customWidth="1"/>
    <col min="23" max="23" width="9.5703125" customWidth="1"/>
  </cols>
  <sheetData>
    <row r="1" spans="1:24" ht="30.75" thickBot="1">
      <c r="A1" s="758" t="s">
        <v>1849</v>
      </c>
      <c r="B1" s="759"/>
      <c r="C1" s="759"/>
      <c r="D1" s="759"/>
      <c r="E1" s="759"/>
      <c r="F1" s="759"/>
      <c r="G1" s="760"/>
      <c r="H1" s="200"/>
      <c r="I1" s="761" t="s">
        <v>665</v>
      </c>
      <c r="J1" s="762"/>
      <c r="K1" s="762"/>
      <c r="L1" s="762"/>
      <c r="M1" s="762"/>
      <c r="N1" s="762"/>
      <c r="O1" s="763"/>
    </row>
    <row r="2" spans="1:24" ht="66.95" customHeight="1" thickBot="1">
      <c r="A2" s="764" t="s">
        <v>1850</v>
      </c>
      <c r="B2" s="764"/>
      <c r="C2" s="764"/>
      <c r="D2" s="764"/>
      <c r="E2" s="764"/>
      <c r="F2" s="764"/>
      <c r="G2" s="764"/>
      <c r="H2" s="201"/>
      <c r="I2" s="765"/>
      <c r="J2" s="766"/>
      <c r="K2" s="766"/>
      <c r="L2" s="766"/>
      <c r="M2" s="766"/>
      <c r="N2" s="766"/>
      <c r="O2" s="766"/>
    </row>
    <row r="3" spans="1:24" ht="14.45" customHeight="1">
      <c r="A3" s="142" t="s">
        <v>601</v>
      </c>
      <c r="B3" s="767" t="s">
        <v>1030</v>
      </c>
      <c r="C3" s="768"/>
      <c r="D3" s="769" t="s">
        <v>602</v>
      </c>
      <c r="E3" s="770"/>
      <c r="F3" s="770"/>
      <c r="G3" s="771"/>
      <c r="H3" s="15"/>
      <c r="I3" s="772" t="s">
        <v>615</v>
      </c>
      <c r="J3" s="773"/>
      <c r="K3" s="778" t="s">
        <v>616</v>
      </c>
      <c r="L3" s="779"/>
      <c r="M3" s="780"/>
      <c r="N3" s="172">
        <v>25</v>
      </c>
      <c r="O3" s="173">
        <v>69</v>
      </c>
      <c r="Q3" s="744" t="s">
        <v>624</v>
      </c>
      <c r="R3" s="47" t="s">
        <v>871</v>
      </c>
      <c r="S3" s="47" t="s">
        <v>873</v>
      </c>
      <c r="T3" s="47" t="s">
        <v>875</v>
      </c>
      <c r="U3" s="47" t="s">
        <v>877</v>
      </c>
      <c r="V3" s="47" t="s">
        <v>879</v>
      </c>
      <c r="W3" s="47" t="s">
        <v>881</v>
      </c>
      <c r="X3" s="47" t="s">
        <v>23</v>
      </c>
    </row>
    <row r="4" spans="1:24" ht="14.45" customHeight="1">
      <c r="A4" s="143" t="s">
        <v>603</v>
      </c>
      <c r="B4" s="747">
        <v>22</v>
      </c>
      <c r="C4" s="748"/>
      <c r="D4" s="37" t="s">
        <v>604</v>
      </c>
      <c r="E4" s="134">
        <v>1.077</v>
      </c>
      <c r="F4" s="37" t="s">
        <v>612</v>
      </c>
      <c r="G4" s="144">
        <f>(76.08*(E4-E5)/(1.775-E4))*(E5/0.794)</f>
        <v>8.5078166477809845</v>
      </c>
      <c r="H4" s="202"/>
      <c r="I4" s="774"/>
      <c r="J4" s="775"/>
      <c r="K4" s="314" t="s">
        <v>911</v>
      </c>
      <c r="L4" s="312">
        <v>5.2</v>
      </c>
      <c r="M4" s="313">
        <v>5.6</v>
      </c>
      <c r="N4" s="27">
        <v>79</v>
      </c>
      <c r="O4" s="174"/>
      <c r="Q4" s="745"/>
      <c r="R4" s="307" t="s">
        <v>872</v>
      </c>
      <c r="S4" s="307" t="s">
        <v>874</v>
      </c>
      <c r="T4" s="307" t="s">
        <v>876</v>
      </c>
      <c r="U4" s="307" t="s">
        <v>878</v>
      </c>
      <c r="V4" s="307" t="s">
        <v>880</v>
      </c>
      <c r="W4" s="307" t="s">
        <v>882</v>
      </c>
      <c r="X4" s="47"/>
    </row>
    <row r="5" spans="1:24" ht="14.45" customHeight="1">
      <c r="A5" s="143" t="s">
        <v>605</v>
      </c>
      <c r="B5" s="749">
        <v>45536</v>
      </c>
      <c r="C5" s="750"/>
      <c r="D5" s="37" t="s">
        <v>606</v>
      </c>
      <c r="E5" s="134">
        <v>1.016</v>
      </c>
      <c r="F5" s="37" t="s">
        <v>614</v>
      </c>
      <c r="G5" s="258">
        <v>2.5</v>
      </c>
      <c r="H5" s="203"/>
      <c r="I5" s="774"/>
      <c r="J5" s="775"/>
      <c r="K5" s="751" t="s">
        <v>622</v>
      </c>
      <c r="L5" s="121" t="s">
        <v>609</v>
      </c>
      <c r="M5" s="36">
        <v>64</v>
      </c>
      <c r="N5" s="27">
        <v>70</v>
      </c>
      <c r="O5" s="174"/>
      <c r="Q5" s="745"/>
      <c r="R5" s="318">
        <v>56.9</v>
      </c>
      <c r="S5" s="318">
        <v>149.5</v>
      </c>
      <c r="T5" s="318">
        <v>115.9</v>
      </c>
      <c r="U5" s="318">
        <v>18.600000000000001</v>
      </c>
      <c r="V5" s="318">
        <v>41.5</v>
      </c>
      <c r="W5" s="318">
        <v>308.2</v>
      </c>
      <c r="X5" s="29">
        <v>7.3</v>
      </c>
    </row>
    <row r="6" spans="1:24" ht="14.45" customHeight="1">
      <c r="A6" s="143"/>
      <c r="B6" s="749"/>
      <c r="C6" s="750"/>
      <c r="D6" s="37" t="s">
        <v>608</v>
      </c>
      <c r="E6" s="135">
        <f>C20</f>
        <v>7.3537698538645833</v>
      </c>
      <c r="F6" s="37" t="s">
        <v>618</v>
      </c>
      <c r="G6" s="144">
        <f>E7/((E4-1)*1000)</f>
        <v>0.34135493945989442</v>
      </c>
      <c r="H6" s="202"/>
      <c r="I6" s="774"/>
      <c r="J6" s="775"/>
      <c r="K6" s="752"/>
      <c r="L6" s="121" t="s">
        <v>611</v>
      </c>
      <c r="M6" s="36" t="s">
        <v>623</v>
      </c>
      <c r="N6" s="27" t="s">
        <v>623</v>
      </c>
      <c r="O6" s="174"/>
      <c r="Q6" s="746"/>
      <c r="R6" s="308"/>
      <c r="S6" s="308"/>
      <c r="T6" s="308"/>
      <c r="U6" s="308"/>
      <c r="V6" s="308"/>
      <c r="W6" s="308"/>
      <c r="X6" s="308"/>
    </row>
    <row r="7" spans="1:24" ht="15.75" customHeight="1" thickBot="1">
      <c r="A7" s="754"/>
      <c r="B7" s="755"/>
      <c r="C7" s="206"/>
      <c r="D7" s="145" t="s">
        <v>610</v>
      </c>
      <c r="E7" s="215">
        <f>G44</f>
        <v>26.284330338411856</v>
      </c>
      <c r="F7" s="146" t="s">
        <v>621</v>
      </c>
      <c r="G7" s="147">
        <f>E7/(0.1808*(259-(259/E4))+(0.8192*(259-(259/E5))))</f>
        <v>3.9293626462113735</v>
      </c>
      <c r="H7" s="204"/>
      <c r="I7" s="774"/>
      <c r="J7" s="775"/>
      <c r="K7" s="752"/>
      <c r="L7" s="121" t="s">
        <v>613</v>
      </c>
      <c r="M7" s="36" t="s">
        <v>623</v>
      </c>
      <c r="N7" s="27" t="s">
        <v>623</v>
      </c>
      <c r="O7" s="174"/>
      <c r="Q7" s="756" t="s">
        <v>917</v>
      </c>
      <c r="R7" s="949" t="s">
        <v>1030</v>
      </c>
      <c r="S7" s="950"/>
      <c r="T7" s="950"/>
      <c r="U7" s="950"/>
      <c r="V7" s="950"/>
      <c r="W7" s="951"/>
      <c r="X7" s="321"/>
    </row>
    <row r="8" spans="1:24" ht="15.75" customHeight="1" thickBot="1">
      <c r="A8" s="15"/>
      <c r="B8" s="140"/>
      <c r="C8" s="141"/>
      <c r="F8" s="136"/>
      <c r="G8" s="136"/>
      <c r="H8" s="136"/>
      <c r="I8" s="774"/>
      <c r="J8" s="775"/>
      <c r="K8" s="752"/>
      <c r="L8" s="121" t="s">
        <v>617</v>
      </c>
      <c r="M8" s="36">
        <v>75</v>
      </c>
      <c r="N8" s="27">
        <v>10</v>
      </c>
      <c r="O8" s="174"/>
      <c r="Q8" s="757"/>
      <c r="R8" s="320">
        <f>VLOOKUP(R7,INGREDIENTS!$BD$8:$CA$185,2,FALSE)</f>
        <v>0</v>
      </c>
      <c r="S8" s="320">
        <f>VLOOKUP($R$7,INGREDIENTS!$BD$8:$CA$185,5,FALSE)</f>
        <v>0</v>
      </c>
      <c r="T8" s="320">
        <f>VLOOKUP($R$7,INGREDIENTS!$BD$8:$CA$185,8,FALSE)</f>
        <v>0</v>
      </c>
      <c r="U8" s="320">
        <f>VLOOKUP($R$7,INGREDIENTS!$BD$8:$CA$185,11,FALSE)</f>
        <v>0</v>
      </c>
      <c r="V8" s="320">
        <f>VLOOKUP($R$7,INGREDIENTS!$BD$8:$CA$185,14,FALSE)</f>
        <v>0</v>
      </c>
      <c r="W8" s="320">
        <f>VLOOKUP($R$7,INGREDIENTS!$BD$8:$CA$185,17,FALSE)</f>
        <v>0</v>
      </c>
      <c r="X8" s="322"/>
    </row>
    <row r="9" spans="1:24" ht="17.45" customHeight="1" thickBot="1">
      <c r="A9" s="781" t="s">
        <v>634</v>
      </c>
      <c r="B9" s="148" t="s">
        <v>1</v>
      </c>
      <c r="C9" s="148" t="s">
        <v>2</v>
      </c>
      <c r="D9" s="148" t="s">
        <v>632</v>
      </c>
      <c r="E9" s="148" t="s">
        <v>23</v>
      </c>
      <c r="F9" s="148" t="s">
        <v>633</v>
      </c>
      <c r="G9" s="149" t="s">
        <v>666</v>
      </c>
      <c r="H9" s="15"/>
      <c r="I9" s="776"/>
      <c r="J9" s="777"/>
      <c r="K9" s="753"/>
      <c r="L9" s="175" t="s">
        <v>620</v>
      </c>
      <c r="M9" s="176">
        <v>67</v>
      </c>
      <c r="N9" s="177">
        <f>SUM(N5:N7)</f>
        <v>70</v>
      </c>
      <c r="O9" s="178"/>
      <c r="Q9" s="757"/>
      <c r="R9" s="320">
        <f>VLOOKUP(R7,INGREDIENTS!$BD$8:$CA$185,3,FALSE)</f>
        <v>0</v>
      </c>
      <c r="S9" s="320">
        <f>VLOOKUP($R$7,INGREDIENTS!$BD$8:$CA$185,6,FALSE)</f>
        <v>0</v>
      </c>
      <c r="T9" s="320">
        <f>VLOOKUP($R$7,INGREDIENTS!$BD$8:$CA$185,9,FALSE)</f>
        <v>0</v>
      </c>
      <c r="U9" s="320">
        <f>VLOOKUP($R$7,INGREDIENTS!$BD$8:$CA$185,12,FALSE)</f>
        <v>0</v>
      </c>
      <c r="V9" s="320">
        <f>VLOOKUP($R$7,INGREDIENTS!$BD$8:$CA$185,15,FALSE)</f>
        <v>0</v>
      </c>
      <c r="W9" s="320">
        <f>VLOOKUP($R$7,INGREDIENTS!$BD$8:$CA$185,18,FALSE)</f>
        <v>0</v>
      </c>
      <c r="X9" s="308"/>
    </row>
    <row r="10" spans="1:24" ht="15.75" customHeight="1" thickBot="1">
      <c r="A10" s="782"/>
      <c r="B10" s="32" t="s">
        <v>50</v>
      </c>
      <c r="C10" s="237">
        <f>IFERROR(VLOOKUP(B10,INGREDIENTS!$A$6:$E$121,3,FALSE),"")</f>
        <v>3</v>
      </c>
      <c r="D10" s="34">
        <f>IFERROR(VLOOKUP(B10,INGREDIENTS!$A$6:$E$121,2,FALSE),"")</f>
        <v>0.8</v>
      </c>
      <c r="E10" s="35">
        <f>IFERROR(VLOOKUP(B10,INGREDIENTS!$A$6:$E$121,5,FALSE),"")</f>
        <v>5.7</v>
      </c>
      <c r="F10" s="26">
        <v>7000</v>
      </c>
      <c r="G10" s="150">
        <f t="shared" ref="G10:G18" si="0">F10/$F$20</f>
        <v>0.91300378244424152</v>
      </c>
      <c r="H10" s="25"/>
      <c r="I10" s="801" t="s">
        <v>714</v>
      </c>
      <c r="J10" s="801"/>
      <c r="K10" s="801"/>
      <c r="L10" s="801"/>
      <c r="M10" s="801"/>
      <c r="N10" s="801"/>
      <c r="O10" s="801"/>
    </row>
    <row r="11" spans="1:24" ht="18.75">
      <c r="A11" s="782"/>
      <c r="B11" s="32" t="s">
        <v>38</v>
      </c>
      <c r="C11" s="237" t="str">
        <f>IFERROR(VLOOKUP(B11,INGREDIENTS!$A$6:$E$121,3,FALSE),"")</f>
        <v/>
      </c>
      <c r="D11" s="34" t="str">
        <f>IFERROR(VLOOKUP(B11,INGREDIENTS!$A$6:$E$121,2,FALSE),"")</f>
        <v/>
      </c>
      <c r="E11" s="35" t="str">
        <f>IFERROR(VLOOKUP(B11,INGREDIENTS!$A$6:$E$121,5,FALSE),"")</f>
        <v/>
      </c>
      <c r="F11" s="26">
        <v>367</v>
      </c>
      <c r="G11" s="150">
        <f t="shared" si="0"/>
        <v>4.7867484022433807E-2</v>
      </c>
      <c r="H11" s="25"/>
      <c r="I11" s="786" t="s">
        <v>626</v>
      </c>
      <c r="J11" s="787"/>
      <c r="K11" s="790" t="s">
        <v>627</v>
      </c>
      <c r="L11" s="792">
        <v>7.6</v>
      </c>
      <c r="M11" s="793"/>
      <c r="N11" s="794" t="s">
        <v>23</v>
      </c>
      <c r="O11" s="983">
        <v>7</v>
      </c>
      <c r="Q11" s="798" t="s">
        <v>682</v>
      </c>
      <c r="R11" s="798"/>
    </row>
    <row r="12" spans="1:24" ht="15.75" thickBot="1">
      <c r="A12" s="782"/>
      <c r="B12" s="32"/>
      <c r="C12" s="237" t="str">
        <f>IFERROR(VLOOKUP(B12,INGREDIENTS!$A$6:$E$121,3,FALSE),"")</f>
        <v/>
      </c>
      <c r="D12" s="34" t="str">
        <f>IFERROR(VLOOKUP(B12,INGREDIENTS!$A$6:$E$121,2,FALSE),"")</f>
        <v/>
      </c>
      <c r="E12" s="35" t="str">
        <f>IFERROR(VLOOKUP(B12,INGREDIENTS!$A$6:$E$121,5,FALSE),"")</f>
        <v/>
      </c>
      <c r="F12" s="26"/>
      <c r="G12" s="150">
        <f t="shared" si="0"/>
        <v>0</v>
      </c>
      <c r="H12" s="25"/>
      <c r="I12" s="788"/>
      <c r="J12" s="789"/>
      <c r="K12" s="791"/>
      <c r="L12" s="799">
        <v>78</v>
      </c>
      <c r="M12" s="800"/>
      <c r="N12" s="795"/>
      <c r="O12" s="984"/>
      <c r="Q12" s="304" t="s">
        <v>870</v>
      </c>
    </row>
    <row r="13" spans="1:24" ht="14.45" customHeight="1" thickBot="1">
      <c r="A13" s="782"/>
      <c r="B13" s="32"/>
      <c r="C13" s="237" t="str">
        <f>IFERROR(VLOOKUP(B13,INGREDIENTS!$A$6:$E$121,3,FALSE),"")</f>
        <v/>
      </c>
      <c r="D13" s="34" t="str">
        <f>IFERROR(VLOOKUP(B13,INGREDIENTS!$A$6:$E$121,2,FALSE),"")</f>
        <v/>
      </c>
      <c r="E13" s="35" t="str">
        <f>IFERROR(VLOOKUP(B13,INGREDIENTS!$A$6:$E$121,5,FALSE),"")</f>
        <v/>
      </c>
      <c r="F13" s="26"/>
      <c r="G13" s="150">
        <f t="shared" si="0"/>
        <v>0</v>
      </c>
      <c r="H13" s="25"/>
      <c r="I13" s="801" t="s">
        <v>714</v>
      </c>
      <c r="J13" s="801"/>
      <c r="K13" s="261" t="s">
        <v>817</v>
      </c>
      <c r="L13" s="30"/>
      <c r="M13" s="31"/>
      <c r="N13" s="31"/>
      <c r="O13" s="28"/>
      <c r="Q13" s="304" t="s">
        <v>908</v>
      </c>
    </row>
    <row r="14" spans="1:24" ht="14.45" customHeight="1">
      <c r="A14" s="782"/>
      <c r="B14" s="32"/>
      <c r="C14" s="237" t="str">
        <f>IFERROR(VLOOKUP(B14,INGREDIENTS!$A$6:$E$121,3,FALSE),"")</f>
        <v/>
      </c>
      <c r="D14" s="34" t="str">
        <f>IFERROR(VLOOKUP(B14,INGREDIENTS!$A$6:$E$121,2,FALSE),"")</f>
        <v/>
      </c>
      <c r="E14" s="35" t="str">
        <f>IFERROR(VLOOKUP(B14,INGREDIENTS!$A$6:$E$121,5,FALSE),"")</f>
        <v/>
      </c>
      <c r="F14" s="26"/>
      <c r="G14" s="150">
        <f t="shared" si="0"/>
        <v>0</v>
      </c>
      <c r="H14" s="25"/>
      <c r="I14" s="802" t="s">
        <v>628</v>
      </c>
      <c r="J14" s="803"/>
      <c r="K14" s="205"/>
      <c r="L14" s="808" t="s">
        <v>737</v>
      </c>
      <c r="M14" s="809"/>
      <c r="N14" s="808" t="s">
        <v>630</v>
      </c>
      <c r="O14" s="810"/>
    </row>
    <row r="15" spans="1:24" ht="17.100000000000001" customHeight="1">
      <c r="A15" s="782"/>
      <c r="B15" s="32"/>
      <c r="C15" s="237" t="str">
        <f>IFERROR(VLOOKUP(B15,INGREDIENTS!$A$6:$E$121,3,FALSE),"")</f>
        <v/>
      </c>
      <c r="D15" s="34" t="str">
        <f>IFERROR(VLOOKUP(B15,INGREDIENTS!$A$6:$E$121,2,FALSE),"")</f>
        <v/>
      </c>
      <c r="E15" s="35" t="str">
        <f>IFERROR(VLOOKUP(B15,INGREDIENTS!$A$6:$E$121,5,FALSE),"")</f>
        <v/>
      </c>
      <c r="F15" s="26"/>
      <c r="G15" s="150">
        <f t="shared" si="0"/>
        <v>0</v>
      </c>
      <c r="H15" s="25"/>
      <c r="I15" s="804"/>
      <c r="J15" s="805"/>
      <c r="K15" s="38" t="s">
        <v>631</v>
      </c>
      <c r="L15" s="811">
        <v>1.0660000000000001</v>
      </c>
      <c r="M15" s="812"/>
      <c r="N15" s="813"/>
      <c r="O15" s="814"/>
    </row>
    <row r="16" spans="1:24" ht="17.100000000000001" customHeight="1" thickBot="1">
      <c r="A16" s="783"/>
      <c r="B16" s="32"/>
      <c r="C16" s="237" t="str">
        <f>IFERROR(VLOOKUP(B16,INGREDIENTS!$A$6:$E$38,3,FALSE),"")</f>
        <v/>
      </c>
      <c r="D16" s="34" t="str">
        <f>IFERROR(VLOOKUP(B16,INGREDIENTS!$A$6:$E$38,2,FALSE),"")</f>
        <v/>
      </c>
      <c r="E16" s="35" t="str">
        <f>IFERROR(VLOOKUP(B16,INGREDIENTS!$A$6:$E$38,5,FALSE),"")</f>
        <v/>
      </c>
      <c r="F16" s="43"/>
      <c r="G16" s="150">
        <f t="shared" si="0"/>
        <v>0</v>
      </c>
      <c r="H16" s="25"/>
      <c r="I16" s="804"/>
      <c r="J16" s="805"/>
      <c r="K16" s="38" t="s">
        <v>603</v>
      </c>
      <c r="L16" s="815">
        <v>27</v>
      </c>
      <c r="M16" s="816"/>
      <c r="N16" s="817">
        <v>22</v>
      </c>
      <c r="O16" s="818"/>
    </row>
    <row r="17" spans="1:24" ht="17.100000000000001" customHeight="1" thickTop="1" thickBot="1">
      <c r="A17" s="832" t="s">
        <v>637</v>
      </c>
      <c r="B17" s="116" t="s">
        <v>2481</v>
      </c>
      <c r="C17" s="238">
        <f>IFERROR(VLOOKUP(B17,INGREDIENTS!$I$6:$L$37,3,FALSE),"")</f>
        <v>2</v>
      </c>
      <c r="D17" s="739">
        <f>IFERROR(VLOOKUP(B17,INGREDIENTS!$I$6:$L$37,2,FALSE),"")</f>
        <v>1</v>
      </c>
      <c r="E17" s="738">
        <f>IFERROR(VLOOKUP(B17,INGREDIENTS!$I$6:$L$24,4,FALSE),"")</f>
        <v>5.6</v>
      </c>
      <c r="F17" s="118">
        <v>300</v>
      </c>
      <c r="G17" s="150">
        <f t="shared" si="0"/>
        <v>3.912873353332464E-2</v>
      </c>
      <c r="H17" s="25"/>
      <c r="I17" s="804"/>
      <c r="J17" s="805"/>
      <c r="K17" s="834" t="s">
        <v>607</v>
      </c>
      <c r="L17" s="836">
        <f>(2.57452*(L15-1)*L16*1000)/(F20*D20)</f>
        <v>0.77759231186440725</v>
      </c>
      <c r="M17" s="837"/>
      <c r="N17" s="840">
        <f>(2.57452*(N15-1)*N16*1000)/(F20*D20)</f>
        <v>-9.5999050847457621</v>
      </c>
      <c r="O17" s="841"/>
    </row>
    <row r="18" spans="1:24" ht="17.100000000000001" customHeight="1" thickTop="1" thickBot="1">
      <c r="A18" s="833"/>
      <c r="B18" s="166"/>
      <c r="C18" s="238" t="str">
        <f>IFERROR(VLOOKUP(B18,INGREDIENTS!$I$6:$L$24,3,FALSE),"")</f>
        <v/>
      </c>
      <c r="D18" s="241" t="str">
        <f>IFERROR(VLOOKUP(B18,INGREDIENTS!$I$6:$L$24,2,FALSE),"")</f>
        <v/>
      </c>
      <c r="E18" s="117" t="str">
        <f>IFERROR(VLOOKUP(B18,INGREDIENTS!$I$6:$L$24,5,FALSE),"")</f>
        <v/>
      </c>
      <c r="F18" s="118"/>
      <c r="G18" s="150">
        <f t="shared" si="0"/>
        <v>0</v>
      </c>
      <c r="H18" s="25"/>
      <c r="I18" s="806"/>
      <c r="J18" s="807"/>
      <c r="K18" s="835"/>
      <c r="L18" s="838"/>
      <c r="M18" s="839"/>
      <c r="N18" s="842"/>
      <c r="O18" s="843"/>
    </row>
    <row r="19" spans="1:24" ht="17.100000000000001" customHeight="1" thickBot="1">
      <c r="A19" s="167" t="s">
        <v>639</v>
      </c>
      <c r="B19" s="168" t="s">
        <v>640</v>
      </c>
      <c r="C19" s="216">
        <f>2.9396*((4.23*SUMPRODUCT(C10:C16,F10:F16)/1000)/L22)^0.6859</f>
        <v>7.2130413233123747</v>
      </c>
      <c r="D19" s="169">
        <f>SUMPRODUCT(D10:D16,G10:G16)</f>
        <v>0.7304030259553933</v>
      </c>
      <c r="E19" s="300">
        <f>SUMPRODUCT(E10:E16,F10:F16)/$F$19</f>
        <v>5.4160445228722685</v>
      </c>
      <c r="F19" s="170">
        <f>SUM(F10:F16)</f>
        <v>7367</v>
      </c>
      <c r="G19" s="171">
        <f>SUM(G10:G16)</f>
        <v>0.96087126646667531</v>
      </c>
      <c r="H19" s="197"/>
      <c r="I19" s="801" t="s">
        <v>714</v>
      </c>
      <c r="J19" s="801"/>
      <c r="K19" s="28"/>
      <c r="L19" s="28"/>
      <c r="M19" s="28"/>
      <c r="N19" s="28"/>
      <c r="O19" s="28"/>
    </row>
    <row r="20" spans="1:24" ht="17.45" customHeight="1" thickBot="1">
      <c r="A20" s="151" t="s">
        <v>639</v>
      </c>
      <c r="B20" s="152" t="s">
        <v>641</v>
      </c>
      <c r="C20" s="153">
        <f>2.9396*((4.23*SUMPRODUCT(C10:C18,F10:F18)/1000)/L22)^0.6859</f>
        <v>7.3537698538645833</v>
      </c>
      <c r="D20" s="154">
        <f>SUMPRODUCT(D10:D18,G10:G18)</f>
        <v>0.76953175948871799</v>
      </c>
      <c r="E20" s="301">
        <f>SUMPRODUCT(E10:E18,F10:F18)/$F$20</f>
        <v>5.4232424677187945</v>
      </c>
      <c r="F20" s="155">
        <f>SUM(F10:F18)</f>
        <v>7667</v>
      </c>
      <c r="G20" s="156">
        <f>SUM(G10:G18)</f>
        <v>1</v>
      </c>
      <c r="H20" s="197"/>
      <c r="I20" s="844" t="s">
        <v>736</v>
      </c>
      <c r="J20" s="845"/>
      <c r="K20" s="181"/>
      <c r="L20" s="850" t="s">
        <v>737</v>
      </c>
      <c r="M20" s="851"/>
      <c r="N20" s="850" t="s">
        <v>630</v>
      </c>
      <c r="O20" s="852"/>
      <c r="Q20" s="819" t="s">
        <v>675</v>
      </c>
      <c r="R20" s="820"/>
      <c r="S20" s="821"/>
      <c r="U20" s="822" t="s">
        <v>912</v>
      </c>
      <c r="V20" s="823"/>
      <c r="W20" s="824"/>
    </row>
    <row r="21" spans="1:24" ht="18" customHeight="1" thickBot="1">
      <c r="I21" s="846"/>
      <c r="J21" s="847"/>
      <c r="K21" s="39" t="s">
        <v>631</v>
      </c>
      <c r="L21" s="825">
        <v>1.077</v>
      </c>
      <c r="M21" s="826"/>
      <c r="N21" s="827">
        <v>1.0780000000000001</v>
      </c>
      <c r="O21" s="828"/>
      <c r="Q21" s="829" t="s">
        <v>676</v>
      </c>
      <c r="R21" s="830"/>
      <c r="S21" s="104">
        <v>1.05</v>
      </c>
      <c r="U21" s="831" t="s">
        <v>916</v>
      </c>
      <c r="V21" s="831"/>
      <c r="W21" s="315">
        <f>E19</f>
        <v>5.4160445228722685</v>
      </c>
    </row>
    <row r="22" spans="1:24" ht="15.6" customHeight="1">
      <c r="A22" s="853" t="s">
        <v>643</v>
      </c>
      <c r="B22" s="856" t="s">
        <v>1</v>
      </c>
      <c r="C22" s="857"/>
      <c r="D22" s="856" t="s">
        <v>588</v>
      </c>
      <c r="E22" s="878"/>
      <c r="F22" s="857"/>
      <c r="G22" s="347" t="s">
        <v>644</v>
      </c>
      <c r="H22" s="15"/>
      <c r="I22" s="846"/>
      <c r="J22" s="847"/>
      <c r="K22" s="40" t="s">
        <v>603</v>
      </c>
      <c r="L22" s="872">
        <v>24</v>
      </c>
      <c r="M22" s="873"/>
      <c r="N22" s="874">
        <v>22</v>
      </c>
      <c r="O22" s="875"/>
      <c r="Q22" s="829" t="s">
        <v>677</v>
      </c>
      <c r="R22" s="830"/>
      <c r="S22" s="115">
        <v>24</v>
      </c>
      <c r="U22" s="831" t="s">
        <v>913</v>
      </c>
      <c r="V22" s="831"/>
      <c r="W22" s="315">
        <v>5.8</v>
      </c>
    </row>
    <row r="23" spans="1:24" ht="14.45" customHeight="1">
      <c r="A23" s="854"/>
      <c r="B23" s="858" t="s">
        <v>758</v>
      </c>
      <c r="C23" s="859"/>
      <c r="D23" s="879" t="s">
        <v>1852</v>
      </c>
      <c r="E23" s="880"/>
      <c r="F23" s="881"/>
      <c r="G23" s="348">
        <v>10.3</v>
      </c>
      <c r="H23" s="28"/>
      <c r="I23" s="846"/>
      <c r="J23" s="847"/>
      <c r="K23" s="243" t="s">
        <v>635</v>
      </c>
      <c r="L23" s="876">
        <f>(L16-L22)*100/L16</f>
        <v>11.111111111111111</v>
      </c>
      <c r="M23" s="877"/>
      <c r="N23" s="876">
        <f>(N16-N22)*100/N16</f>
        <v>0</v>
      </c>
      <c r="O23" s="877"/>
      <c r="Q23" s="829" t="s">
        <v>678</v>
      </c>
      <c r="R23" s="830"/>
      <c r="S23" s="104">
        <v>1.0549999999999999</v>
      </c>
      <c r="U23" s="860" t="s">
        <v>869</v>
      </c>
      <c r="V23" s="861"/>
      <c r="W23" s="315">
        <v>5.4</v>
      </c>
      <c r="X23" s="227" t="s">
        <v>867</v>
      </c>
    </row>
    <row r="24" spans="1:24" ht="14.45" customHeight="1" thickBot="1">
      <c r="A24" s="854"/>
      <c r="B24" s="858" t="s">
        <v>757</v>
      </c>
      <c r="C24" s="859"/>
      <c r="D24" s="858" t="s">
        <v>1853</v>
      </c>
      <c r="E24" s="938"/>
      <c r="F24" s="938"/>
      <c r="G24" s="348" t="s">
        <v>1854</v>
      </c>
      <c r="H24" s="28"/>
      <c r="I24" s="846"/>
      <c r="J24" s="847"/>
      <c r="K24" s="209" t="s">
        <v>636</v>
      </c>
      <c r="L24" s="210"/>
      <c r="M24" s="210"/>
      <c r="N24" s="211"/>
      <c r="O24" s="182">
        <f>((N15-1)*1000)*N16*2.57452-((N21-1)*1000)*N22*2.57452</f>
        <v>-61057.316320000005</v>
      </c>
      <c r="Q24" s="829" t="s">
        <v>679</v>
      </c>
      <c r="R24" s="830"/>
      <c r="S24" s="50" t="s">
        <v>680</v>
      </c>
      <c r="U24" s="860" t="s">
        <v>915</v>
      </c>
      <c r="V24" s="861"/>
      <c r="W24" s="316">
        <v>20</v>
      </c>
      <c r="X24" s="227" t="s">
        <v>868</v>
      </c>
    </row>
    <row r="25" spans="1:24" ht="14.45" customHeight="1" thickBot="1">
      <c r="A25" s="855"/>
      <c r="B25" s="862"/>
      <c r="C25" s="863"/>
      <c r="D25" s="862"/>
      <c r="E25" s="939"/>
      <c r="F25" s="939"/>
      <c r="G25" s="349"/>
      <c r="H25" s="28"/>
      <c r="I25" s="846"/>
      <c r="J25" s="847"/>
      <c r="K25" s="40" t="s">
        <v>718</v>
      </c>
      <c r="L25" s="864">
        <v>10</v>
      </c>
      <c r="M25" s="865"/>
      <c r="N25" s="866">
        <v>80</v>
      </c>
      <c r="O25" s="867"/>
      <c r="Q25" s="829" t="s">
        <v>681</v>
      </c>
      <c r="R25" s="830"/>
      <c r="S25" s="131">
        <f>IF(S24="","",IF(S24="Sucre",(S23-S21)*1000*2.57452,IF(S24="DMS",(S23-S21)*1000*2.66,IF(S24="LMS",(S23-S21)*1000*3.24,IF(S24="Eau",1000*((S21-1)/(S23-1)*S22-S22)/S22)))))</f>
        <v>12.872599999999727</v>
      </c>
      <c r="U25" s="868" t="s">
        <v>914</v>
      </c>
      <c r="V25" s="869"/>
      <c r="W25" s="882">
        <v>0.8</v>
      </c>
    </row>
    <row r="26" spans="1:24" ht="14.45" customHeight="1" thickBot="1">
      <c r="I26" s="846"/>
      <c r="J26" s="847"/>
      <c r="K26" s="40" t="s">
        <v>716</v>
      </c>
      <c r="L26" s="864">
        <v>2</v>
      </c>
      <c r="M26" s="865"/>
      <c r="N26" s="866">
        <v>80</v>
      </c>
      <c r="O26" s="867"/>
      <c r="Q26" s="829" t="s">
        <v>681</v>
      </c>
      <c r="R26" s="830"/>
      <c r="S26" s="130">
        <f>S25*S22</f>
        <v>308.94239999999343</v>
      </c>
      <c r="U26" s="870"/>
      <c r="V26" s="871"/>
      <c r="W26" s="883"/>
    </row>
    <row r="27" spans="1:24" ht="30">
      <c r="A27" s="884" t="s">
        <v>649</v>
      </c>
      <c r="B27" s="157" t="s">
        <v>1</v>
      </c>
      <c r="C27" s="259" t="s">
        <v>650</v>
      </c>
      <c r="D27" s="157" t="s">
        <v>588</v>
      </c>
      <c r="E27" s="157" t="s">
        <v>647</v>
      </c>
      <c r="F27" s="157" t="s">
        <v>633</v>
      </c>
      <c r="G27" s="158" t="s">
        <v>651</v>
      </c>
      <c r="H27" s="15"/>
      <c r="I27" s="846"/>
      <c r="J27" s="847"/>
      <c r="K27" s="40" t="s">
        <v>717</v>
      </c>
      <c r="L27" s="864">
        <v>30</v>
      </c>
      <c r="M27" s="865"/>
      <c r="N27" s="866">
        <v>80</v>
      </c>
      <c r="O27" s="867"/>
      <c r="U27" s="860" t="s">
        <v>644</v>
      </c>
      <c r="V27" s="861"/>
      <c r="W27" s="317">
        <f>((POWER(10,-W23)-POWER(10,-W22))*W24)/(W25/100)/(1.206/1000)</f>
        <v>4.9672025561232473</v>
      </c>
    </row>
    <row r="28" spans="1:24" ht="14.45" customHeight="1" thickBot="1">
      <c r="A28" s="885"/>
      <c r="B28" s="137" t="s">
        <v>123</v>
      </c>
      <c r="C28" s="239">
        <f>IFERROR(VLOOKUP(B28,INGREDIENTS!$R$6:$U$151,4,FALSE), "")</f>
        <v>0.06</v>
      </c>
      <c r="D28" s="137" t="s">
        <v>732</v>
      </c>
      <c r="E28" s="138">
        <v>60</v>
      </c>
      <c r="F28" s="139">
        <v>33</v>
      </c>
      <c r="G28" s="159">
        <f>IFERROR((VLOOKUP(D28,INGREDIENTS!$AA$6:$AB$14,2,FALSE))*((1.65*(0.000125^($L$31-1))*((1-EXP(-0.04*E28))/4.15))*C28*F28*1000)/($L$32),"")</f>
        <v>16.286923039144984</v>
      </c>
      <c r="H28" s="198"/>
      <c r="I28" s="848"/>
      <c r="J28" s="849"/>
      <c r="K28" s="217" t="s">
        <v>718</v>
      </c>
      <c r="L28" s="887">
        <v>35</v>
      </c>
      <c r="M28" s="888"/>
      <c r="N28" s="889">
        <v>22</v>
      </c>
      <c r="O28" s="890"/>
    </row>
    <row r="29" spans="1:24" ht="14.45" customHeight="1" thickBot="1">
      <c r="A29" s="885"/>
      <c r="B29" s="137" t="s">
        <v>491</v>
      </c>
      <c r="C29" s="239">
        <f>IFERROR(VLOOKUP(B29,INGREDIENTS!$R$6:$U$151,4,FALSE), "")</f>
        <v>3.5000000000000003E-2</v>
      </c>
      <c r="D29" s="137" t="s">
        <v>724</v>
      </c>
      <c r="E29" s="138">
        <v>40</v>
      </c>
      <c r="F29" s="139">
        <v>26</v>
      </c>
      <c r="G29" s="159">
        <f>IFERROR((VLOOKUP(D29,INGREDIENTS!$AA$6:$AB$14,2,FALSE))*((1.65*(0.000125^($L$31-1))*((1-EXP(-0.04*E29))/4.15))*C29*F29*1000)/($L$32),"")</f>
        <v>6.5701583316398962</v>
      </c>
      <c r="H29" s="198"/>
      <c r="I29" s="242" t="s">
        <v>714</v>
      </c>
      <c r="J29" s="218"/>
    </row>
    <row r="30" spans="1:24" ht="15" customHeight="1">
      <c r="A30" s="885"/>
      <c r="B30" s="137" t="s">
        <v>123</v>
      </c>
      <c r="C30" s="239">
        <f>IFERROR(VLOOKUP(B30,INGREDIENTS!$R$6:$U$151,4,FALSE), "")</f>
        <v>0.06</v>
      </c>
      <c r="D30" s="137" t="s">
        <v>724</v>
      </c>
      <c r="E30" s="138">
        <v>5</v>
      </c>
      <c r="F30" s="139">
        <v>22</v>
      </c>
      <c r="G30" s="159">
        <f>IFERROR((VLOOKUP(D30,INGREDIENTS!$AA$6:$AB$14,2,FALSE))*((1.65*(0.000125^($L$31-1))*((1-EXP(-0.04*E30))/4.15))*C30*F30*1000)/($L$32),"")</f>
        <v>2.1645782953433539</v>
      </c>
      <c r="H30" s="198"/>
      <c r="I30" s="891" t="s">
        <v>638</v>
      </c>
      <c r="J30" s="892"/>
      <c r="K30" s="179"/>
      <c r="L30" s="897" t="s">
        <v>737</v>
      </c>
      <c r="M30" s="898"/>
      <c r="N30" s="180" t="s">
        <v>630</v>
      </c>
      <c r="O30" s="207"/>
    </row>
    <row r="31" spans="1:24" ht="15.6" customHeight="1">
      <c r="A31" s="885"/>
      <c r="B31" s="137" t="s">
        <v>491</v>
      </c>
      <c r="C31" s="239">
        <f>IFERROR(VLOOKUP(B31,INGREDIENTS!$R$6:$U$151,4,FALSE), "")</f>
        <v>3.5000000000000003E-2</v>
      </c>
      <c r="D31" s="137" t="s">
        <v>724</v>
      </c>
      <c r="E31" s="138">
        <v>5</v>
      </c>
      <c r="F31" s="139">
        <v>22</v>
      </c>
      <c r="G31" s="159">
        <f>IFERROR((VLOOKUP(D31,INGREDIENTS!$AA$6:$AB$14,2,FALSE))*((1.65*(0.000125^($L$31-1))*((1-EXP(-0.04*E31))/4.15))*C31*F31*1000)/($L$32),"")</f>
        <v>1.2626706722836232</v>
      </c>
      <c r="H31" s="198"/>
      <c r="I31" s="893"/>
      <c r="J31" s="894"/>
      <c r="K31" s="49" t="s">
        <v>604</v>
      </c>
      <c r="L31" s="899">
        <v>1.077</v>
      </c>
      <c r="M31" s="900"/>
      <c r="N31" s="901">
        <v>1.0780000000000001</v>
      </c>
      <c r="O31" s="902"/>
    </row>
    <row r="32" spans="1:24" ht="15.6" customHeight="1">
      <c r="A32" s="885"/>
      <c r="B32" s="137"/>
      <c r="C32" s="239" t="str">
        <f>IFERROR(VLOOKUP(B32,INGREDIENTS!$R$6:$U$151,4,FALSE), "")</f>
        <v/>
      </c>
      <c r="D32" s="137"/>
      <c r="E32" s="138"/>
      <c r="F32" s="139"/>
      <c r="G32" s="159" t="str">
        <f>IFERROR((VLOOKUP(D32,INGREDIENTS!$AA$6:$AB$14,2,FALSE))*((1.65*(0.000125^($L$31-1))*((1-EXP(-0.04*E32))/4.15))*C32*F32*1000)/($L$32),"")</f>
        <v/>
      </c>
      <c r="H32" s="198"/>
      <c r="I32" s="893"/>
      <c r="J32" s="894"/>
      <c r="K32" s="49" t="s">
        <v>603</v>
      </c>
      <c r="L32" s="903">
        <v>22</v>
      </c>
      <c r="M32" s="904"/>
      <c r="N32" s="905">
        <v>19.5</v>
      </c>
      <c r="O32" s="906"/>
    </row>
    <row r="33" spans="1:17" ht="17.100000000000001" customHeight="1">
      <c r="A33" s="885"/>
      <c r="B33" s="137"/>
      <c r="C33" s="239" t="str">
        <f>IFERROR(VLOOKUP(B33,INGREDIENTS!$R$6:$U$151,4,FALSE), "")</f>
        <v/>
      </c>
      <c r="D33" s="137"/>
      <c r="E33" s="138"/>
      <c r="F33" s="139"/>
      <c r="G33" s="159" t="str">
        <f>IFERROR((VLOOKUP(D33,INGREDIENTS!$AA$6:$AB$14,2,FALSE))*((1.65*(0.000125^($L$31-1))*((1-EXP(-0.04*E33))/4.15))*C33*F33*1000)/($L$32),"")</f>
        <v/>
      </c>
      <c r="H33" s="198"/>
      <c r="I33" s="893"/>
      <c r="J33" s="894"/>
      <c r="K33" s="907" t="s">
        <v>642</v>
      </c>
      <c r="L33" s="909">
        <v>0.6952285714285712</v>
      </c>
      <c r="M33" s="910"/>
      <c r="N33" s="909">
        <f>(2.57452*N32*(N31-1)*1000)/(D20*F20)</f>
        <v>0.66370252881355996</v>
      </c>
      <c r="O33" s="913"/>
    </row>
    <row r="34" spans="1:17" ht="17.100000000000001" customHeight="1" thickBot="1">
      <c r="A34" s="885"/>
      <c r="B34" s="137"/>
      <c r="C34" s="239" t="str">
        <f>IFERROR(VLOOKUP(B34,INGREDIENTS!$R$6:$U$151,4,FALSE), "")</f>
        <v/>
      </c>
      <c r="D34" s="137"/>
      <c r="E34" s="138"/>
      <c r="F34" s="139"/>
      <c r="G34" s="159" t="str">
        <f>IFERROR((VLOOKUP(D34,INGREDIENTS!$AA$6:$AB$14,2,FALSE))*((1.65*(0.000125^($L$31-1))*((1-EXP(-0.04*E34))/4.15))*C34*F34*1000)/($L$32),"")</f>
        <v/>
      </c>
      <c r="H34" s="198"/>
      <c r="I34" s="895"/>
      <c r="J34" s="896"/>
      <c r="K34" s="908"/>
      <c r="L34" s="911"/>
      <c r="M34" s="912"/>
      <c r="N34" s="911"/>
      <c r="O34" s="914"/>
    </row>
    <row r="35" spans="1:17" ht="17.100000000000001" customHeight="1" thickBot="1">
      <c r="A35" s="885"/>
      <c r="B35" s="137"/>
      <c r="C35" s="239" t="str">
        <f>IFERROR(VLOOKUP(B35,INGREDIENTS!$R$6:$U$151,4,FALSE), "")</f>
        <v/>
      </c>
      <c r="D35" s="137"/>
      <c r="E35" s="138"/>
      <c r="F35" s="139"/>
      <c r="G35" s="159" t="str">
        <f>IFERROR((VLOOKUP(D35,INGREDIENTS!$AA$6:$AB$14,2,FALSE))*((1.65*(0.000125^($L$31-1))*((1-EXP(-0.04*E35))/4.15))*C35*F35*1000)/($L$32),"")</f>
        <v/>
      </c>
      <c r="H35" s="198"/>
      <c r="I35" s="801" t="s">
        <v>714</v>
      </c>
      <c r="J35" s="801"/>
      <c r="K35" s="28"/>
      <c r="L35" s="28"/>
      <c r="M35" s="28"/>
      <c r="N35" s="28"/>
      <c r="O35" s="28"/>
    </row>
    <row r="36" spans="1:17" ht="14.45" customHeight="1">
      <c r="A36" s="885"/>
      <c r="B36" s="137"/>
      <c r="C36" s="239" t="str">
        <f>IFERROR(VLOOKUP(B36,INGREDIENTS!$R$6:$U$151,4,FALSE), "")</f>
        <v/>
      </c>
      <c r="D36" s="137"/>
      <c r="E36" s="138"/>
      <c r="F36" s="139"/>
      <c r="G36" s="159" t="str">
        <f>IFERROR((VLOOKUP(D36,INGREDIENTS!$AA$6:$AB$14,2,FALSE))*((1.65*(0.000125^($L$31-1))*((1-EXP(-0.04*E36))/4.15))*C36*F36*1000)/($L$32),"")</f>
        <v/>
      </c>
      <c r="H36" s="198"/>
      <c r="I36" s="917" t="s">
        <v>645</v>
      </c>
      <c r="J36" s="918"/>
      <c r="K36" s="923" t="s">
        <v>674</v>
      </c>
      <c r="L36" s="183" t="s">
        <v>646</v>
      </c>
      <c r="M36" s="184" t="s">
        <v>647</v>
      </c>
      <c r="N36" s="185" t="s">
        <v>605</v>
      </c>
      <c r="O36" s="186" t="s">
        <v>648</v>
      </c>
      <c r="Q36" s="302"/>
    </row>
    <row r="37" spans="1:17" ht="14.45" customHeight="1">
      <c r="A37" s="885"/>
      <c r="B37" s="137"/>
      <c r="C37" s="239" t="str">
        <f>IFERROR(VLOOKUP(B37,INGREDIENTS!$R$6:$U$151,4,FALSE), "")</f>
        <v/>
      </c>
      <c r="D37" s="137"/>
      <c r="E37" s="138"/>
      <c r="F37" s="139"/>
      <c r="G37" s="159" t="str">
        <f>IFERROR((VLOOKUP(D37,INGREDIENTS!$AA$6:$AB$14,2,FALSE))*((1.65*(0.000125^($L$31-1))*((1-EXP(-0.04*E37))/4.15))*C37*F37*1000)/($L$32),"")</f>
        <v/>
      </c>
      <c r="H37" s="198"/>
      <c r="I37" s="919"/>
      <c r="J37" s="920"/>
      <c r="K37" s="924"/>
      <c r="L37" s="44">
        <v>20</v>
      </c>
      <c r="M37" s="45">
        <v>21</v>
      </c>
      <c r="N37" s="46">
        <v>45540</v>
      </c>
      <c r="O37" s="187">
        <f>N37+M37</f>
        <v>45561</v>
      </c>
      <c r="Q37" s="305"/>
    </row>
    <row r="38" spans="1:17" ht="14.45" customHeight="1">
      <c r="A38" s="885"/>
      <c r="B38" s="137"/>
      <c r="C38" s="239" t="str">
        <f>IFERROR(VLOOKUP(B38,INGREDIENTS!$R$6:$U$151,4,FALSE), "")</f>
        <v/>
      </c>
      <c r="D38" s="137"/>
      <c r="E38" s="138"/>
      <c r="F38" s="139"/>
      <c r="G38" s="159" t="str">
        <f>IFERROR((VLOOKUP(D38,INGREDIENTS!$AA$6:$AB$14,2,FALSE))*((1.65*(0.000125^($L$31-1))*((1-EXP(-0.04*E38))/4.15))*C38*F38*1000)/($L$32),"")</f>
        <v/>
      </c>
      <c r="H38" s="198"/>
      <c r="I38" s="919"/>
      <c r="J38" s="920"/>
      <c r="K38" s="924"/>
      <c r="L38" s="33"/>
      <c r="M38" s="260"/>
      <c r="N38" s="46"/>
      <c r="O38" s="187"/>
      <c r="Q38" s="302"/>
    </row>
    <row r="39" spans="1:17" ht="14.45" customHeight="1">
      <c r="A39" s="885"/>
      <c r="B39" s="137"/>
      <c r="C39" s="239" t="str">
        <f>IFERROR(VLOOKUP(B39,INGREDIENTS!$R$6:$U$151,4,FALSE), "")</f>
        <v/>
      </c>
      <c r="D39" s="137"/>
      <c r="E39" s="138"/>
      <c r="F39" s="139"/>
      <c r="G39" s="159" t="str">
        <f>IFERROR((VLOOKUP(D39,INGREDIENTS!$AA$6:$AB$14,2,FALSE))*((1.65*(0.000125^($L$31-1))*((1-EXP(-0.04*E39))/4.15))*C39*F39*1000)/($L$32),"")</f>
        <v/>
      </c>
      <c r="H39" s="198"/>
      <c r="I39" s="919"/>
      <c r="J39" s="920"/>
      <c r="K39" s="924"/>
      <c r="L39" s="33"/>
      <c r="M39" s="45"/>
      <c r="N39" s="46"/>
      <c r="O39" s="187"/>
      <c r="Q39" s="306"/>
    </row>
    <row r="40" spans="1:17" ht="17.45" customHeight="1">
      <c r="A40" s="885"/>
      <c r="B40" s="137"/>
      <c r="C40" s="239" t="str">
        <f>IFERROR(VLOOKUP(B40,INGREDIENTS!$R$6:$U$151,4,FALSE), "")</f>
        <v/>
      </c>
      <c r="D40" s="137"/>
      <c r="E40" s="138"/>
      <c r="F40" s="139"/>
      <c r="G40" s="159" t="str">
        <f>IFERROR((VLOOKUP(D40,INGREDIENTS!$AA$6:$AB$14,2,FALSE))*((1.65*(0.000125^($L$31-1))*((1-EXP(-0.04*E40))/4.15))*C40*F40*1000)/($L$32),"")</f>
        <v/>
      </c>
      <c r="H40" s="199"/>
      <c r="I40" s="919"/>
      <c r="J40" s="920"/>
      <c r="K40" s="924"/>
      <c r="L40" s="33"/>
      <c r="M40" s="45"/>
      <c r="N40" s="46"/>
      <c r="O40" s="187"/>
      <c r="Q40" s="306"/>
    </row>
    <row r="41" spans="1:17" ht="14.45" customHeight="1">
      <c r="A41" s="885"/>
      <c r="B41" s="137"/>
      <c r="C41" s="239" t="str">
        <f>IFERROR(VLOOKUP(B41,INGREDIENTS!$R$6:$U$151,4,FALSE), "")</f>
        <v/>
      </c>
      <c r="D41" s="137"/>
      <c r="E41" s="138"/>
      <c r="F41" s="139"/>
      <c r="G41" s="159" t="str">
        <f>IFERROR((VLOOKUP(D41,INGREDIENTS!$AA$6:$AB$14,2,FALSE))*((1.65*(0.000125^($L$31-1))*((1-EXP(-0.04*E41))/4.15))*C41*F41*1000)/($L$32),"")</f>
        <v/>
      </c>
      <c r="H41" s="28"/>
      <c r="I41" s="919"/>
      <c r="J41" s="920"/>
      <c r="K41" s="924"/>
      <c r="L41" s="33"/>
      <c r="M41" s="45"/>
      <c r="N41" s="46"/>
      <c r="O41" s="187"/>
      <c r="Q41" s="306"/>
    </row>
    <row r="42" spans="1:17" ht="14.45" customHeight="1">
      <c r="A42" s="885"/>
      <c r="B42" s="137"/>
      <c r="C42" s="239" t="str">
        <f>IFERROR(VLOOKUP(B42,INGREDIENTS!$R$6:$U$151,4,FALSE), "")</f>
        <v/>
      </c>
      <c r="D42" s="137"/>
      <c r="E42" s="138"/>
      <c r="F42" s="139"/>
      <c r="G42" s="159" t="str">
        <f>IFERROR((VLOOKUP(D42,INGREDIENTS!$AA$6:$AB$14,2,FALSE))*((1.65*(0.000125^($L$31-1))*((1-EXP(-0.04*E42))/4.15))*C42*F42*1000)/($L$32),"")</f>
        <v/>
      </c>
      <c r="H42" s="197"/>
      <c r="I42" s="919"/>
      <c r="J42" s="920"/>
      <c r="K42" s="925"/>
      <c r="L42" s="33"/>
      <c r="M42" s="45"/>
      <c r="N42" s="46"/>
      <c r="O42" s="187"/>
      <c r="Q42" s="306"/>
    </row>
    <row r="43" spans="1:17" ht="14.45" customHeight="1" thickBot="1">
      <c r="A43" s="886"/>
      <c r="B43" s="137"/>
      <c r="C43" s="239" t="str">
        <f>IFERROR(VLOOKUP(B43,INGREDIENTS!$R$6:$U$151,4,FALSE), "")</f>
        <v/>
      </c>
      <c r="D43" s="137"/>
      <c r="E43" s="138"/>
      <c r="F43" s="139"/>
      <c r="G43" s="159" t="str">
        <f>IFERROR((VLOOKUP(D43,INGREDIENTS!$AA$6:$AB$14,2,FALSE))*((1.65*(0.000125^($L$31-1))*((1-EXP(-0.04*E43))/4.15))*C43*F43*1000)/($L$32),"")</f>
        <v/>
      </c>
      <c r="H43" s="25"/>
      <c r="I43" s="919"/>
      <c r="J43" s="920"/>
      <c r="K43" s="926" t="s">
        <v>652</v>
      </c>
      <c r="L43" s="927"/>
      <c r="M43" s="927"/>
      <c r="N43" s="927"/>
      <c r="O43" s="928"/>
    </row>
    <row r="44" spans="1:17" ht="14.45" customHeight="1" thickBot="1">
      <c r="A44" s="160"/>
      <c r="B44" s="161" t="s">
        <v>656</v>
      </c>
      <c r="C44" s="162"/>
      <c r="D44" s="162"/>
      <c r="E44" s="163"/>
      <c r="F44" s="164">
        <f>SUM(F28:F43)</f>
        <v>103</v>
      </c>
      <c r="G44" s="165">
        <f>SUM(G28:G43)</f>
        <v>26.284330338411856</v>
      </c>
      <c r="H44" s="25"/>
      <c r="I44" s="919"/>
      <c r="J44" s="920"/>
      <c r="K44" s="929" t="s">
        <v>605</v>
      </c>
      <c r="L44" s="42" t="s">
        <v>1851</v>
      </c>
      <c r="M44" s="42" t="s">
        <v>631</v>
      </c>
      <c r="N44" s="42" t="s">
        <v>653</v>
      </c>
      <c r="O44" s="188" t="s">
        <v>654</v>
      </c>
      <c r="Q44" s="304"/>
    </row>
    <row r="45" spans="1:17" ht="14.45" customHeight="1">
      <c r="H45" s="25"/>
      <c r="I45" s="919"/>
      <c r="J45" s="920"/>
      <c r="K45" s="924"/>
      <c r="L45" s="48" t="s">
        <v>669</v>
      </c>
      <c r="M45" s="119">
        <v>1.028</v>
      </c>
      <c r="N45" s="120" t="s">
        <v>623</v>
      </c>
      <c r="O45" s="189" t="s">
        <v>623</v>
      </c>
      <c r="Q45" s="303"/>
    </row>
    <row r="46" spans="1:17" ht="18.600000000000001" customHeight="1">
      <c r="A46" s="931" t="s">
        <v>657</v>
      </c>
      <c r="B46" s="196" t="s">
        <v>1</v>
      </c>
      <c r="C46" s="2" t="s">
        <v>752</v>
      </c>
      <c r="D46" s="196" t="s">
        <v>69</v>
      </c>
      <c r="E46" s="196" t="s">
        <v>70</v>
      </c>
      <c r="F46" s="934" t="s">
        <v>658</v>
      </c>
      <c r="G46" s="935"/>
      <c r="H46" s="25"/>
      <c r="I46" s="919"/>
      <c r="J46" s="920"/>
      <c r="K46" s="924"/>
      <c r="L46" s="48" t="s">
        <v>1835</v>
      </c>
      <c r="M46" s="119">
        <v>1.0249999999999999</v>
      </c>
      <c r="N46" s="120" t="s">
        <v>623</v>
      </c>
      <c r="O46" s="189" t="s">
        <v>623</v>
      </c>
    </row>
    <row r="47" spans="1:17" ht="14.45" customHeight="1">
      <c r="A47" s="932"/>
      <c r="B47" s="350" t="s">
        <v>821</v>
      </c>
      <c r="C47" s="293">
        <v>16</v>
      </c>
      <c r="D47" s="240" t="str">
        <f>IFERROR(VLOOKUP(B47,INGREDIENTS!$AF$6:$AT$37,7,FALSE),"")</f>
        <v/>
      </c>
      <c r="E47" s="240" t="str">
        <f>IFERROR(VLOOKUP(B47,INGREDIENTS!$AF$6:$AT$37,8,FALSE),"")</f>
        <v/>
      </c>
      <c r="F47" s="936" t="str">
        <f>IFERROR(VLOOKUP(B47,INGREDIENTS!$AF$6:$AT$37,6,FALSE),"")</f>
        <v/>
      </c>
      <c r="G47" s="937"/>
      <c r="I47" s="919"/>
      <c r="J47" s="920"/>
      <c r="K47" s="924"/>
      <c r="L47" s="48"/>
      <c r="M47" s="119" t="s">
        <v>623</v>
      </c>
      <c r="N47" s="120" t="s">
        <v>623</v>
      </c>
      <c r="O47" s="189" t="s">
        <v>623</v>
      </c>
    </row>
    <row r="48" spans="1:17" ht="14.45" customHeight="1">
      <c r="A48" s="932"/>
      <c r="B48" s="3"/>
      <c r="C48" s="293"/>
      <c r="D48" s="240" t="str">
        <f>IFERROR(VLOOKUP(B48,INGREDIENTS!$AF$6:$AT$37,7,FALSE),"")</f>
        <v/>
      </c>
      <c r="E48" s="240" t="str">
        <f>IFERROR(VLOOKUP(B48,INGREDIENTS!$AF$6:$AT$37,8,FALSE),"")</f>
        <v/>
      </c>
      <c r="F48" s="936" t="str">
        <f>IFERROR(VLOOKUP(B48,INGREDIENTS!$AF$6:$AT$37,5,FALSE),"")</f>
        <v/>
      </c>
      <c r="G48" s="937"/>
      <c r="I48" s="919"/>
      <c r="J48" s="920"/>
      <c r="K48" s="924"/>
      <c r="L48" s="48"/>
      <c r="M48" s="119" t="s">
        <v>623</v>
      </c>
      <c r="N48" s="120" t="s">
        <v>623</v>
      </c>
      <c r="O48" s="189" t="s">
        <v>623</v>
      </c>
    </row>
    <row r="49" spans="1:15" ht="14.45" customHeight="1" thickBot="1">
      <c r="A49" s="932"/>
      <c r="B49" s="3"/>
      <c r="C49" s="293"/>
      <c r="D49" s="240" t="str">
        <f>IFERROR(VLOOKUP(B49,INGREDIENTS!$AF$6:$AT$37,7,FALSE),"")</f>
        <v/>
      </c>
      <c r="E49" s="240" t="str">
        <f>IFERROR(VLOOKUP(B49,INGREDIENTS!$AF$6:$AT$37,8,FALSE),"")</f>
        <v/>
      </c>
      <c r="F49" s="936" t="str">
        <f>IFERROR(VLOOKUP(B49,INGREDIENTS!$AF$6:$AT$37,5,FALSE),"")</f>
        <v/>
      </c>
      <c r="G49" s="937"/>
      <c r="I49" s="921"/>
      <c r="J49" s="922"/>
      <c r="K49" s="930"/>
      <c r="L49" s="190"/>
      <c r="M49" s="191"/>
      <c r="N49" s="192" t="s">
        <v>623</v>
      </c>
      <c r="O49" s="193" t="s">
        <v>623</v>
      </c>
    </row>
    <row r="50" spans="1:15" ht="15" customHeight="1" thickBot="1">
      <c r="A50" s="933"/>
      <c r="B50" s="3"/>
      <c r="C50" s="293"/>
      <c r="D50" s="240" t="str">
        <f>IFERROR(VLOOKUP(B50,INGREDIENTS!$AF$6:$AT$37,7,FALSE),"")</f>
        <v/>
      </c>
      <c r="E50" s="240" t="str">
        <f>IFERROR(VLOOKUP(B50,INGREDIENTS!$AF$6:$AT$37,8,FALSE),"")</f>
        <v/>
      </c>
      <c r="F50" s="936" t="str">
        <f>IFERROR(VLOOKUP(B50,INGREDIENTS!$AF$6:$AT$37,5,FALSE),"")</f>
        <v/>
      </c>
      <c r="G50" s="937"/>
      <c r="I50" s="801" t="s">
        <v>714</v>
      </c>
      <c r="J50" s="801"/>
      <c r="K50" s="351"/>
    </row>
    <row r="51" spans="1:15" ht="14.45" customHeight="1">
      <c r="I51" s="960" t="s">
        <v>655</v>
      </c>
      <c r="J51" s="961"/>
      <c r="K51" s="194">
        <v>43857</v>
      </c>
      <c r="L51" s="966" t="s">
        <v>629</v>
      </c>
      <c r="M51" s="967"/>
      <c r="N51" s="966" t="s">
        <v>630</v>
      </c>
      <c r="O51" s="968"/>
    </row>
    <row r="52" spans="1:15" ht="14.45" customHeight="1">
      <c r="I52" s="962"/>
      <c r="J52" s="963"/>
      <c r="K52" s="208" t="s">
        <v>603</v>
      </c>
      <c r="L52" s="969">
        <v>20</v>
      </c>
      <c r="M52" s="970"/>
      <c r="N52" s="971">
        <v>18</v>
      </c>
      <c r="O52" s="972"/>
    </row>
    <row r="53" spans="1:15" ht="14.45" customHeight="1">
      <c r="I53" s="962"/>
      <c r="J53" s="963"/>
      <c r="K53" s="212" t="s">
        <v>606</v>
      </c>
      <c r="L53" s="973">
        <v>1.016</v>
      </c>
      <c r="M53" s="974"/>
      <c r="N53" s="975">
        <v>1.016</v>
      </c>
      <c r="O53" s="976"/>
    </row>
    <row r="54" spans="1:15" ht="14.45" customHeight="1">
      <c r="I54" s="962"/>
      <c r="J54" s="963"/>
      <c r="K54" s="208" t="s">
        <v>653</v>
      </c>
      <c r="L54" s="915" t="str">
        <f>F47</f>
        <v/>
      </c>
      <c r="M54" s="916"/>
      <c r="N54" s="915">
        <f>(N31-L53)/(N31-1)</f>
        <v>0.79487179487179482</v>
      </c>
      <c r="O54" s="952"/>
    </row>
    <row r="55" spans="1:15" ht="14.45" customHeight="1">
      <c r="I55" s="962"/>
      <c r="J55" s="963"/>
      <c r="K55" s="208" t="s">
        <v>659</v>
      </c>
      <c r="L55" s="953">
        <f>(76.08*(L31-L53)/(1.775-L31))*(L53/0.794)</f>
        <v>8.5078166477809845</v>
      </c>
      <c r="M55" s="954"/>
      <c r="N55" s="953">
        <f>(76.08*(N31-N53)/(1.775-N31))*(N53/0.794)</f>
        <v>8.6596954923764766</v>
      </c>
      <c r="O55" s="954"/>
    </row>
    <row r="56" spans="1:15" ht="14.45" customHeight="1">
      <c r="I56" s="962"/>
      <c r="J56" s="963"/>
      <c r="K56" s="41" t="s">
        <v>660</v>
      </c>
      <c r="L56" s="955" t="s">
        <v>809</v>
      </c>
      <c r="M56" s="956"/>
      <c r="N56" s="955">
        <v>2.5</v>
      </c>
      <c r="O56" s="957"/>
    </row>
    <row r="57" spans="1:15" ht="14.45" customHeight="1">
      <c r="I57" s="962"/>
      <c r="J57" s="963"/>
      <c r="K57" s="958" t="s">
        <v>661</v>
      </c>
      <c r="L57" s="959"/>
      <c r="M57" s="958" t="s">
        <v>662</v>
      </c>
      <c r="N57" s="959"/>
      <c r="O57" s="219" t="s">
        <v>721</v>
      </c>
    </row>
    <row r="58" spans="1:15" ht="14.45" customHeight="1" thickBot="1">
      <c r="I58" s="962"/>
      <c r="J58" s="963"/>
      <c r="K58" s="940">
        <v>5.5</v>
      </c>
      <c r="L58" s="941"/>
      <c r="M58" s="942">
        <v>127</v>
      </c>
      <c r="N58" s="943"/>
      <c r="O58" s="234">
        <v>1.6</v>
      </c>
    </row>
    <row r="59" spans="1:15">
      <c r="I59" s="962"/>
      <c r="J59" s="963"/>
      <c r="K59" s="944" t="s">
        <v>722</v>
      </c>
      <c r="L59" s="944"/>
      <c r="M59" s="945"/>
      <c r="N59" s="230" t="s">
        <v>719</v>
      </c>
      <c r="O59" s="231">
        <f>K58*0.75*1000/(M58/O58)</f>
        <v>51.968503937007874</v>
      </c>
    </row>
    <row r="60" spans="1:15" ht="15" customHeight="1" thickBot="1">
      <c r="I60" s="964"/>
      <c r="J60" s="965"/>
      <c r="K60" s="229"/>
      <c r="L60" s="229"/>
      <c r="M60" s="229"/>
      <c r="N60" s="232" t="s">
        <v>720</v>
      </c>
      <c r="O60" s="233">
        <f>K58*0.33*1000/(M58/O58)</f>
        <v>22.866141732283467</v>
      </c>
    </row>
    <row r="61" spans="1:15" ht="15.75" thickBot="1">
      <c r="I61" s="801" t="s">
        <v>714</v>
      </c>
      <c r="J61" s="801"/>
    </row>
    <row r="64" spans="1:15">
      <c r="O64" s="220"/>
    </row>
    <row r="65" spans="15:21">
      <c r="O65" s="220"/>
    </row>
    <row r="66" spans="15:21">
      <c r="O66" s="220"/>
      <c r="P66" s="221"/>
    </row>
    <row r="67" spans="15:21">
      <c r="O67" s="220"/>
      <c r="P67" s="221"/>
    </row>
    <row r="68" spans="15:21">
      <c r="O68" s="222"/>
      <c r="P68" s="223"/>
    </row>
    <row r="69" spans="15:21">
      <c r="O69" s="222"/>
      <c r="P69" s="223"/>
    </row>
    <row r="70" spans="15:21">
      <c r="O70" s="220"/>
      <c r="P70" s="224"/>
    </row>
    <row r="72" spans="15:21">
      <c r="R72" s="225"/>
      <c r="S72" s="226"/>
      <c r="U72" s="18"/>
    </row>
    <row r="73" spans="15:21">
      <c r="R73" s="225"/>
      <c r="S73" s="226"/>
      <c r="U73" s="18"/>
    </row>
    <row r="74" spans="15:21">
      <c r="R74" s="227"/>
      <c r="U74" s="16"/>
    </row>
    <row r="75" spans="15:21">
      <c r="O75" s="228"/>
      <c r="R75" s="225"/>
      <c r="S75" s="226"/>
      <c r="U75" s="16"/>
    </row>
  </sheetData>
  <mergeCells count="121">
    <mergeCell ref="Q3:Q6"/>
    <mergeCell ref="B4:C4"/>
    <mergeCell ref="B5:C5"/>
    <mergeCell ref="K5:K9"/>
    <mergeCell ref="B6:C6"/>
    <mergeCell ref="A7:B7"/>
    <mergeCell ref="Q7:Q9"/>
    <mergeCell ref="A1:G1"/>
    <mergeCell ref="I1:O1"/>
    <mergeCell ref="A2:G2"/>
    <mergeCell ref="I2:O2"/>
    <mergeCell ref="B3:C3"/>
    <mergeCell ref="D3:G3"/>
    <mergeCell ref="I3:J9"/>
    <mergeCell ref="K3:M3"/>
    <mergeCell ref="R7:W7"/>
    <mergeCell ref="A9:A16"/>
    <mergeCell ref="I10:J10"/>
    <mergeCell ref="K10:O10"/>
    <mergeCell ref="I11:J12"/>
    <mergeCell ref="K11:K12"/>
    <mergeCell ref="L11:M11"/>
    <mergeCell ref="N11:N12"/>
    <mergeCell ref="O11:O12"/>
    <mergeCell ref="Q11:R11"/>
    <mergeCell ref="L12:M12"/>
    <mergeCell ref="I13:J13"/>
    <mergeCell ref="I14:J18"/>
    <mergeCell ref="L14:M14"/>
    <mergeCell ref="N14:O14"/>
    <mergeCell ref="L15:M15"/>
    <mergeCell ref="N15:O15"/>
    <mergeCell ref="L16:M16"/>
    <mergeCell ref="N16:O16"/>
    <mergeCell ref="Q20:S20"/>
    <mergeCell ref="U20:W20"/>
    <mergeCell ref="L21:M21"/>
    <mergeCell ref="N21:O21"/>
    <mergeCell ref="Q21:R21"/>
    <mergeCell ref="U21:V21"/>
    <mergeCell ref="A17:A18"/>
    <mergeCell ref="K17:K18"/>
    <mergeCell ref="L17:M18"/>
    <mergeCell ref="N17:O18"/>
    <mergeCell ref="I19:J19"/>
    <mergeCell ref="I20:J28"/>
    <mergeCell ref="L20:M20"/>
    <mergeCell ref="N20:O20"/>
    <mergeCell ref="A22:A25"/>
    <mergeCell ref="B22:C22"/>
    <mergeCell ref="D22:F22"/>
    <mergeCell ref="L22:M22"/>
    <mergeCell ref="N22:O22"/>
    <mergeCell ref="Q22:R22"/>
    <mergeCell ref="U22:V22"/>
    <mergeCell ref="B23:C23"/>
    <mergeCell ref="D23:F23"/>
    <mergeCell ref="L23:M23"/>
    <mergeCell ref="N23:O23"/>
    <mergeCell ref="Q23:R23"/>
    <mergeCell ref="U23:V23"/>
    <mergeCell ref="B24:C24"/>
    <mergeCell ref="D24:F24"/>
    <mergeCell ref="Q24:R24"/>
    <mergeCell ref="U24:V24"/>
    <mergeCell ref="B25:C25"/>
    <mergeCell ref="D25:F25"/>
    <mergeCell ref="L25:M25"/>
    <mergeCell ref="N25:O25"/>
    <mergeCell ref="Q25:R25"/>
    <mergeCell ref="U25:V26"/>
    <mergeCell ref="W25:W26"/>
    <mergeCell ref="L26:M26"/>
    <mergeCell ref="N26:O26"/>
    <mergeCell ref="Q26:R26"/>
    <mergeCell ref="A27:A43"/>
    <mergeCell ref="L27:M27"/>
    <mergeCell ref="N27:O27"/>
    <mergeCell ref="U27:V27"/>
    <mergeCell ref="L28:M28"/>
    <mergeCell ref="N28:O28"/>
    <mergeCell ref="I30:J34"/>
    <mergeCell ref="L30:M30"/>
    <mergeCell ref="L31:M31"/>
    <mergeCell ref="N31:O31"/>
    <mergeCell ref="L32:M32"/>
    <mergeCell ref="N32:O32"/>
    <mergeCell ref="K33:K34"/>
    <mergeCell ref="L33:M34"/>
    <mergeCell ref="N33:O34"/>
    <mergeCell ref="I35:J35"/>
    <mergeCell ref="I36:J49"/>
    <mergeCell ref="K36:K42"/>
    <mergeCell ref="K43:O43"/>
    <mergeCell ref="K44:K49"/>
    <mergeCell ref="A46:A50"/>
    <mergeCell ref="F46:G46"/>
    <mergeCell ref="F47:G47"/>
    <mergeCell ref="F48:G48"/>
    <mergeCell ref="F49:G49"/>
    <mergeCell ref="F50:G50"/>
    <mergeCell ref="I50:J50"/>
    <mergeCell ref="I51:J60"/>
    <mergeCell ref="L51:M51"/>
    <mergeCell ref="I61:J61"/>
    <mergeCell ref="N54:O54"/>
    <mergeCell ref="L55:M55"/>
    <mergeCell ref="N55:O55"/>
    <mergeCell ref="L56:M56"/>
    <mergeCell ref="N56:O56"/>
    <mergeCell ref="K57:L57"/>
    <mergeCell ref="M57:N57"/>
    <mergeCell ref="N51:O51"/>
    <mergeCell ref="L52:M52"/>
    <mergeCell ref="N52:O52"/>
    <mergeCell ref="L53:M53"/>
    <mergeCell ref="N53:O53"/>
    <mergeCell ref="L54:M54"/>
    <mergeCell ref="K58:L58"/>
    <mergeCell ref="M58:N58"/>
    <mergeCell ref="K59:M59"/>
  </mergeCells>
  <dataValidations count="1">
    <dataValidation type="list" allowBlank="1" showInputMessage="1" showErrorMessage="1" sqref="S24" xr:uid="{D21A6BDF-5082-4957-973A-DAAA289503D0}">
      <formula1>"Sucre,DMS,LMS,Eau"</formula1>
    </dataValidation>
  </dataValidations>
  <hyperlinks>
    <hyperlink ref="Q12" r:id="rId1" xr:uid="{DA9A277F-C846-4365-A523-A9F2CBB1A2BF}"/>
    <hyperlink ref="Q13" r:id="rId2" xr:uid="{5D271139-43F5-494A-A0C2-5BFC7C8A5DDA}"/>
  </hyperlinks>
  <pageMargins left="0.7" right="0.7" top="0.75" bottom="0.75" header="0.3" footer="0.3"/>
  <pageSetup paperSize="9" orientation="portrait" r:id="rId3"/>
  <drawing r:id="rId4"/>
  <extLst>
    <ext xmlns:x14="http://schemas.microsoft.com/office/spreadsheetml/2009/9/main" uri="{CCE6A557-97BC-4b89-ADB6-D9C93CAAB3DF}">
      <x14:dataValidations xmlns:xm="http://schemas.microsoft.com/office/excel/2006/main" count="8">
        <x14:dataValidation type="list" allowBlank="1" showInputMessage="1" showErrorMessage="1" xr:uid="{B6102C95-6D49-4F2B-A059-168A65E87BFD}">
          <x14:formula1>
            <xm:f>INGREDIENTS!$BD$8:$BD$182</xm:f>
          </x14:formula1>
          <xm:sqref>R7</xm:sqref>
        </x14:dataValidation>
        <x14:dataValidation type="list" allowBlank="1" showInputMessage="1" showErrorMessage="1" xr:uid="{04F4357C-5423-490F-A6D2-A07EA5DD0EDF}">
          <x14:formula1>
            <xm:f>INGREDIENTS!$AF$6:$AF$33</xm:f>
          </x14:formula1>
          <xm:sqref>B47:B50</xm:sqref>
        </x14:dataValidation>
        <x14:dataValidation type="list" allowBlank="1" showInputMessage="1" showErrorMessage="1" xr:uid="{84E6BF58-2471-4380-A038-1FF2DFDF3C20}">
          <x14:formula1>
            <xm:f>INGREDIENTS!$R$6:$R$151</xm:f>
          </x14:formula1>
          <xm:sqref>B28:B43</xm:sqref>
        </x14:dataValidation>
        <x14:dataValidation type="list" allowBlank="1" showInputMessage="1" showErrorMessage="1" xr:uid="{F61289AD-0B93-4E83-9CD9-0220AE08CAC8}">
          <x14:formula1>
            <xm:f>INGREDIENTS!$BD$10:$BD$182</xm:f>
          </x14:formula1>
          <xm:sqref>B3:C3</xm:sqref>
        </x14:dataValidation>
        <x14:dataValidation type="list" allowBlank="1" showInputMessage="1" showErrorMessage="1" xr:uid="{B072C5F6-95D9-4998-9F9A-32F54532FBAA}">
          <x14:formula1>
            <xm:f>INGREDIENTS!$AA$6:$AA$14</xm:f>
          </x14:formula1>
          <xm:sqref>D28:D43</xm:sqref>
        </x14:dataValidation>
        <x14:dataValidation type="list" allowBlank="1" showInputMessage="1" showErrorMessage="1" xr:uid="{090CB901-1BC6-4A1D-B793-4EF9EB4E0F8A}">
          <x14:formula1>
            <xm:f>INGREDIENTS!$I$6:$I$23</xm:f>
          </x14:formula1>
          <xm:sqref>B17</xm:sqref>
        </x14:dataValidation>
        <x14:dataValidation type="list" allowBlank="1" showInputMessage="1" showErrorMessage="1" xr:uid="{9AF15C91-93B3-4EC5-A9BA-F1EEE60A1ABC}">
          <x14:formula1>
            <xm:f>INGREDIENTS!$AV$6:$AV$27</xm:f>
          </x14:formula1>
          <xm:sqref>B23:C25</xm:sqref>
        </x14:dataValidation>
        <x14:dataValidation type="list" allowBlank="1" showInputMessage="1" showErrorMessage="1" xr:uid="{5D9AC805-73C0-40AA-B137-709E9D5E036F}">
          <x14:formula1>
            <xm:f>INGREDIENTS!$A$6:$A$121</xm:f>
          </x14:formula1>
          <xm:sqref>B10:B16</xm:sqref>
        </x14:dataValidation>
      </x14:dataValidation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8CEEF6-53E5-483D-89EB-CAC45DDB36D0}">
  <dimension ref="A1:X75"/>
  <sheetViews>
    <sheetView zoomScale="90" zoomScaleNormal="90" workbookViewId="0">
      <selection activeCell="Q16" sqref="Q16"/>
    </sheetView>
  </sheetViews>
  <sheetFormatPr baseColWidth="10" defaultColWidth="8.7109375" defaultRowHeight="15"/>
  <cols>
    <col min="1" max="1" width="10.5703125" bestFit="1" customWidth="1"/>
    <col min="2" max="2" width="18" bestFit="1" customWidth="1"/>
    <col min="3" max="3" width="9" bestFit="1" customWidth="1"/>
    <col min="5" max="5" width="9.5703125" bestFit="1" customWidth="1"/>
    <col min="7" max="7" width="10.140625" bestFit="1" customWidth="1"/>
    <col min="8" max="8" width="2.85546875" customWidth="1"/>
    <col min="9" max="9" width="11.42578125" customWidth="1"/>
    <col min="11" max="11" width="16.42578125" customWidth="1"/>
    <col min="12" max="12" width="9.5703125" customWidth="1"/>
    <col min="14" max="14" width="10.140625" bestFit="1" customWidth="1"/>
    <col min="17" max="17" width="10.7109375" customWidth="1"/>
    <col min="18" max="18" width="10.42578125" bestFit="1" customWidth="1"/>
    <col min="19" max="19" width="12.85546875" bestFit="1" customWidth="1"/>
    <col min="22" max="22" width="11.42578125" bestFit="1" customWidth="1"/>
    <col min="23" max="23" width="9.5703125" customWidth="1"/>
  </cols>
  <sheetData>
    <row r="1" spans="1:24" ht="30.75" thickBot="1">
      <c r="A1" s="758" t="s">
        <v>801</v>
      </c>
      <c r="B1" s="759"/>
      <c r="C1" s="759"/>
      <c r="D1" s="759"/>
      <c r="E1" s="759"/>
      <c r="F1" s="759"/>
      <c r="G1" s="760"/>
      <c r="H1" s="200"/>
      <c r="I1" s="761" t="s">
        <v>665</v>
      </c>
      <c r="J1" s="762"/>
      <c r="K1" s="762"/>
      <c r="L1" s="762"/>
      <c r="M1" s="762"/>
      <c r="N1" s="762"/>
      <c r="O1" s="763"/>
    </row>
    <row r="2" spans="1:24" ht="52.5" customHeight="1" thickBot="1">
      <c r="A2" s="764" t="s">
        <v>803</v>
      </c>
      <c r="B2" s="764"/>
      <c r="C2" s="764"/>
      <c r="D2" s="764"/>
      <c r="E2" s="764"/>
      <c r="F2" s="764"/>
      <c r="G2" s="764"/>
      <c r="H2" s="201"/>
      <c r="I2" s="985" t="s">
        <v>857</v>
      </c>
      <c r="J2" s="986"/>
      <c r="K2" s="986"/>
      <c r="L2" s="986"/>
      <c r="M2" s="986"/>
      <c r="N2" s="986"/>
      <c r="O2" s="986"/>
    </row>
    <row r="3" spans="1:24" ht="14.45" customHeight="1">
      <c r="A3" s="142" t="s">
        <v>601</v>
      </c>
      <c r="B3" s="767" t="s">
        <v>663</v>
      </c>
      <c r="C3" s="768"/>
      <c r="D3" s="769" t="s">
        <v>602</v>
      </c>
      <c r="E3" s="770"/>
      <c r="F3" s="770"/>
      <c r="G3" s="771"/>
      <c r="H3" s="15"/>
      <c r="I3" s="772" t="s">
        <v>615</v>
      </c>
      <c r="J3" s="773"/>
      <c r="K3" s="778" t="s">
        <v>616</v>
      </c>
      <c r="L3" s="779"/>
      <c r="M3" s="780"/>
      <c r="N3" s="172">
        <v>20</v>
      </c>
      <c r="O3" s="173">
        <v>75.840814005243004</v>
      </c>
      <c r="Q3" s="744" t="s">
        <v>624</v>
      </c>
      <c r="R3" s="47" t="s">
        <v>871</v>
      </c>
      <c r="S3" s="47" t="s">
        <v>873</v>
      </c>
      <c r="T3" s="47" t="s">
        <v>875</v>
      </c>
      <c r="U3" s="47" t="s">
        <v>877</v>
      </c>
      <c r="V3" s="47" t="s">
        <v>879</v>
      </c>
      <c r="W3" s="47" t="s">
        <v>881</v>
      </c>
      <c r="X3" s="47" t="s">
        <v>23</v>
      </c>
    </row>
    <row r="4" spans="1:24" ht="14.45" customHeight="1">
      <c r="A4" s="143" t="s">
        <v>603</v>
      </c>
      <c r="B4" s="747">
        <v>20</v>
      </c>
      <c r="C4" s="748"/>
      <c r="D4" s="37" t="s">
        <v>604</v>
      </c>
      <c r="E4" s="134">
        <v>1.0629999999999999</v>
      </c>
      <c r="F4" s="37" t="s">
        <v>612</v>
      </c>
      <c r="G4" s="144">
        <f>(76.08*(E4-E5)/(1.775-E4))*(E5/0.794)</f>
        <v>6.0338827724789903</v>
      </c>
      <c r="H4" s="202"/>
      <c r="I4" s="774"/>
      <c r="J4" s="775"/>
      <c r="K4" s="980" t="s">
        <v>619</v>
      </c>
      <c r="L4" s="981"/>
      <c r="M4" s="982"/>
      <c r="N4" s="213"/>
      <c r="O4" s="214"/>
      <c r="Q4" s="745"/>
      <c r="R4" s="307" t="s">
        <v>872</v>
      </c>
      <c r="S4" s="307" t="s">
        <v>874</v>
      </c>
      <c r="T4" s="307" t="s">
        <v>876</v>
      </c>
      <c r="U4" s="307" t="s">
        <v>878</v>
      </c>
      <c r="V4" s="307" t="s">
        <v>880</v>
      </c>
      <c r="W4" s="307" t="s">
        <v>882</v>
      </c>
      <c r="X4" s="47"/>
    </row>
    <row r="5" spans="1:24" ht="14.45" customHeight="1">
      <c r="A5" s="143" t="s">
        <v>605</v>
      </c>
      <c r="B5" s="749">
        <v>45660</v>
      </c>
      <c r="C5" s="750"/>
      <c r="D5" s="37" t="s">
        <v>606</v>
      </c>
      <c r="E5" s="134">
        <v>1.0189999999999999</v>
      </c>
      <c r="F5" s="37" t="s">
        <v>614</v>
      </c>
      <c r="G5" s="258">
        <v>2.4</v>
      </c>
      <c r="H5" s="203"/>
      <c r="I5" s="774"/>
      <c r="J5" s="775"/>
      <c r="K5" s="751" t="s">
        <v>622</v>
      </c>
      <c r="L5" s="121" t="s">
        <v>609</v>
      </c>
      <c r="M5" s="36">
        <v>68</v>
      </c>
      <c r="N5" s="27">
        <v>60</v>
      </c>
      <c r="O5" s="174"/>
      <c r="Q5" s="745"/>
      <c r="R5" s="318">
        <v>56.9</v>
      </c>
      <c r="S5" s="318">
        <v>149.5</v>
      </c>
      <c r="T5" s="318">
        <v>115.9</v>
      </c>
      <c r="U5" s="318">
        <v>18.600000000000001</v>
      </c>
      <c r="V5" s="318">
        <v>41.5</v>
      </c>
      <c r="W5" s="318">
        <v>308.2</v>
      </c>
      <c r="X5" s="29">
        <v>7.3</v>
      </c>
    </row>
    <row r="6" spans="1:24" ht="14.45" customHeight="1">
      <c r="A6" s="143"/>
      <c r="B6" s="749"/>
      <c r="C6" s="750"/>
      <c r="D6" s="37" t="s">
        <v>608</v>
      </c>
      <c r="E6" s="135">
        <f>C20</f>
        <v>13.49625144682155</v>
      </c>
      <c r="F6" s="37" t="s">
        <v>618</v>
      </c>
      <c r="G6" s="144">
        <f>E7/((E4-1)*1000)</f>
        <v>0.43856994389204479</v>
      </c>
      <c r="H6" s="202"/>
      <c r="I6" s="774"/>
      <c r="J6" s="775"/>
      <c r="K6" s="752"/>
      <c r="L6" s="121" t="s">
        <v>611</v>
      </c>
      <c r="M6" s="36" t="s">
        <v>623</v>
      </c>
      <c r="N6" s="27" t="s">
        <v>623</v>
      </c>
      <c r="O6" s="174"/>
      <c r="Q6" s="746"/>
      <c r="R6" s="308"/>
      <c r="S6" s="308"/>
      <c r="T6" s="308"/>
      <c r="U6" s="308"/>
      <c r="V6" s="308"/>
      <c r="W6" s="308"/>
      <c r="X6" s="308"/>
    </row>
    <row r="7" spans="1:24" ht="18" thickBot="1">
      <c r="A7" s="754" t="s">
        <v>607</v>
      </c>
      <c r="B7" s="755"/>
      <c r="C7" s="206">
        <f>N17</f>
        <v>0</v>
      </c>
      <c r="D7" s="145" t="s">
        <v>610</v>
      </c>
      <c r="E7" s="215">
        <f>G44</f>
        <v>27.629906465198797</v>
      </c>
      <c r="F7" s="146" t="s">
        <v>621</v>
      </c>
      <c r="G7" s="147">
        <f>E7/(0.1808*(259-(259/E4))+(0.8192*(259-(259/E5))))</f>
        <v>4.1046370411129027</v>
      </c>
      <c r="H7" s="204"/>
      <c r="I7" s="774"/>
      <c r="J7" s="775"/>
      <c r="K7" s="752"/>
      <c r="L7" s="121" t="s">
        <v>613</v>
      </c>
      <c r="M7" s="36" t="s">
        <v>623</v>
      </c>
      <c r="N7" s="27" t="s">
        <v>623</v>
      </c>
      <c r="O7" s="174"/>
      <c r="Q7" s="756" t="s">
        <v>917</v>
      </c>
      <c r="R7" s="946" t="s">
        <v>1011</v>
      </c>
      <c r="S7" s="948"/>
      <c r="T7" s="308"/>
      <c r="U7" s="308"/>
      <c r="V7" s="308"/>
      <c r="W7" s="308"/>
      <c r="X7" s="321"/>
    </row>
    <row r="8" spans="1:24" ht="18" thickBot="1">
      <c r="A8" s="15"/>
      <c r="B8" s="140"/>
      <c r="C8" s="141"/>
      <c r="F8" s="136"/>
      <c r="G8" s="136"/>
      <c r="H8" s="136"/>
      <c r="I8" s="774"/>
      <c r="J8" s="775"/>
      <c r="K8" s="752"/>
      <c r="L8" s="121" t="s">
        <v>617</v>
      </c>
      <c r="M8" s="36">
        <v>78</v>
      </c>
      <c r="N8" s="27">
        <v>10</v>
      </c>
      <c r="O8" s="174"/>
      <c r="Q8" s="757"/>
      <c r="R8" s="320" t="e">
        <f>VLOOKUP(R7,INGREDIENTS!$BD$8:$CA$185,2,FALSE)</f>
        <v>#N/A</v>
      </c>
      <c r="S8" s="320" t="e">
        <f>VLOOKUP($R$7,INGREDIENTS!$BD$8:$CA$185,5,FALSE)</f>
        <v>#N/A</v>
      </c>
      <c r="T8" s="320" t="e">
        <f>VLOOKUP($R$7,INGREDIENTS!$BD$8:$CA$185,8,FALSE)</f>
        <v>#N/A</v>
      </c>
      <c r="U8" s="320" t="e">
        <f>VLOOKUP($R$7,INGREDIENTS!$BD$8:$CA$185,11,FALSE)</f>
        <v>#N/A</v>
      </c>
      <c r="V8" s="320" t="e">
        <f>VLOOKUP($R$7,INGREDIENTS!$BD$8:$CA$185,14,FALSE)</f>
        <v>#N/A</v>
      </c>
      <c r="W8" s="320" t="e">
        <f>VLOOKUP($R$7,INGREDIENTS!$BD$8:$CA$185,17,FALSE)</f>
        <v>#N/A</v>
      </c>
      <c r="X8" s="322"/>
    </row>
    <row r="9" spans="1:24" ht="17.45" customHeight="1" thickBot="1">
      <c r="A9" s="781" t="s">
        <v>634</v>
      </c>
      <c r="B9" s="148" t="s">
        <v>1</v>
      </c>
      <c r="C9" s="148" t="s">
        <v>2</v>
      </c>
      <c r="D9" s="148" t="s">
        <v>632</v>
      </c>
      <c r="E9" s="148" t="s">
        <v>23</v>
      </c>
      <c r="F9" s="148" t="s">
        <v>633</v>
      </c>
      <c r="G9" s="149" t="s">
        <v>666</v>
      </c>
      <c r="H9" s="15"/>
      <c r="I9" s="776"/>
      <c r="J9" s="777"/>
      <c r="K9" s="753"/>
      <c r="L9" s="175" t="s">
        <v>620</v>
      </c>
      <c r="M9" s="176">
        <v>67</v>
      </c>
      <c r="N9" s="177">
        <f>SUM(N5:N7)</f>
        <v>60</v>
      </c>
      <c r="O9" s="178"/>
      <c r="Q9" s="757"/>
      <c r="R9" s="320" t="e">
        <f>VLOOKUP(R7,INGREDIENTS!$BD$8:$CA$185,3,FALSE)</f>
        <v>#N/A</v>
      </c>
      <c r="S9" s="320" t="e">
        <f>VLOOKUP($R$7,INGREDIENTS!$BD$8:$CA$185,6,FALSE)</f>
        <v>#N/A</v>
      </c>
      <c r="T9" s="320" t="e">
        <f>VLOOKUP($R$7,INGREDIENTS!$BD$8:$CA$185,9,FALSE)</f>
        <v>#N/A</v>
      </c>
      <c r="U9" s="320" t="e">
        <f>VLOOKUP($R$7,INGREDIENTS!$BD$8:$CA$185,12,FALSE)</f>
        <v>#N/A</v>
      </c>
      <c r="V9" s="320" t="e">
        <f>VLOOKUP($R$7,INGREDIENTS!$BD$8:$CA$185,15,FALSE)</f>
        <v>#N/A</v>
      </c>
      <c r="W9" s="320" t="e">
        <f>VLOOKUP($R$7,INGREDIENTS!$BD$8:$CA$185,18,FALSE)</f>
        <v>#N/A</v>
      </c>
      <c r="X9" s="308"/>
    </row>
    <row r="10" spans="1:24" ht="15" customHeight="1" thickBot="1">
      <c r="A10" s="782"/>
      <c r="B10" s="32" t="s">
        <v>19</v>
      </c>
      <c r="C10" s="237">
        <f>IFERROR(VLOOKUP(B10,INGREDIENTS!$A$6:$E$121,3,FALSE),"")</f>
        <v>8.5</v>
      </c>
      <c r="D10" s="34">
        <f>IFERROR(VLOOKUP(B10,INGREDIENTS!$A$6:$E$121,2,FALSE),"")</f>
        <v>0.81</v>
      </c>
      <c r="E10" s="35">
        <f>IFERROR(VLOOKUP(B10,INGREDIENTS!$A$6:$E$121,5,FALSE),"")</f>
        <v>5.7</v>
      </c>
      <c r="F10" s="26">
        <v>5100</v>
      </c>
      <c r="G10" s="150">
        <f>F10/$F$20</f>
        <v>0.73913043478260865</v>
      </c>
      <c r="H10" s="25"/>
      <c r="I10" s="801" t="s">
        <v>714</v>
      </c>
      <c r="J10" s="801"/>
      <c r="K10" s="801"/>
      <c r="L10" s="801"/>
      <c r="M10" s="801"/>
      <c r="N10" s="801"/>
      <c r="O10" s="801"/>
    </row>
    <row r="11" spans="1:24" ht="43.5" customHeight="1">
      <c r="A11" s="782"/>
      <c r="B11" s="32" t="s">
        <v>26</v>
      </c>
      <c r="C11" s="237">
        <f>IFERROR(VLOOKUP(B11,INGREDIENTS!$A$6:$E$121,3,FALSE),"")</f>
        <v>5</v>
      </c>
      <c r="D11" s="34">
        <f>IFERROR(VLOOKUP(B11,INGREDIENTS!$A$6:$E$121,2,FALSE),"")</f>
        <v>0.7</v>
      </c>
      <c r="E11" s="35">
        <f>IFERROR(VLOOKUP(B11,INGREDIENTS!$A$6:$E$121,5,FALSE),"")</f>
        <v>5.2</v>
      </c>
      <c r="F11" s="26">
        <v>1200</v>
      </c>
      <c r="G11" s="150">
        <f t="shared" ref="G11:G18" si="0">F11/$F$20</f>
        <v>0.17391304347826086</v>
      </c>
      <c r="H11" s="25"/>
      <c r="I11" s="786" t="s">
        <v>626</v>
      </c>
      <c r="J11" s="787"/>
      <c r="K11" s="790" t="s">
        <v>627</v>
      </c>
      <c r="L11" s="792">
        <v>14</v>
      </c>
      <c r="M11" s="793"/>
      <c r="N11" s="794"/>
      <c r="O11" s="796"/>
      <c r="Q11" s="798" t="s">
        <v>682</v>
      </c>
      <c r="R11" s="798"/>
    </row>
    <row r="12" spans="1:24" ht="15" customHeight="1" thickBot="1">
      <c r="A12" s="782"/>
      <c r="B12" s="32" t="s">
        <v>2013</v>
      </c>
      <c r="C12" s="237">
        <f>IFERROR(VLOOKUP(B12,INGREDIENTS!$A$6:$E$121,3,FALSE),"")</f>
        <v>5</v>
      </c>
      <c r="D12" s="34">
        <f>IFERROR(VLOOKUP(B12,INGREDIENTS!$A$6:$E$121,2,FALSE),"")</f>
        <v>0.75</v>
      </c>
      <c r="E12" s="35">
        <f>IFERROR(VLOOKUP(B12,INGREDIENTS!$A$6:$E$121,5,FALSE),"")</f>
        <v>5.8</v>
      </c>
      <c r="F12" s="26">
        <v>600</v>
      </c>
      <c r="G12" s="150">
        <f t="shared" si="0"/>
        <v>8.6956521739130432E-2</v>
      </c>
      <c r="H12" s="25"/>
      <c r="I12" s="788"/>
      <c r="J12" s="789"/>
      <c r="K12" s="791"/>
      <c r="L12" s="799">
        <v>78</v>
      </c>
      <c r="M12" s="800"/>
      <c r="N12" s="795"/>
      <c r="O12" s="797"/>
      <c r="Q12" s="304" t="s">
        <v>870</v>
      </c>
    </row>
    <row r="13" spans="1:24" ht="14.45" customHeight="1" thickBot="1">
      <c r="A13" s="782"/>
      <c r="B13" s="32"/>
      <c r="C13" s="237" t="str">
        <f>IFERROR(VLOOKUP(B13,INGREDIENTS!$A$6:$E$121,3,FALSE),"")</f>
        <v/>
      </c>
      <c r="D13" s="34" t="str">
        <f>IFERROR(VLOOKUP(B13,INGREDIENTS!$A$6:$E$121,2,FALSE),"")</f>
        <v/>
      </c>
      <c r="E13" s="35" t="str">
        <f>IFERROR(VLOOKUP(B13,INGREDIENTS!$A$6:$E$121,5,FALSE),"")</f>
        <v/>
      </c>
      <c r="F13" s="26"/>
      <c r="G13" s="150">
        <f>F13/$F$20</f>
        <v>0</v>
      </c>
      <c r="H13" s="25"/>
      <c r="I13" s="801" t="s">
        <v>714</v>
      </c>
      <c r="J13" s="801"/>
      <c r="K13" s="30"/>
      <c r="L13" s="30"/>
      <c r="M13" s="31"/>
      <c r="N13" s="31"/>
      <c r="O13" s="28"/>
      <c r="Q13" s="304" t="s">
        <v>908</v>
      </c>
    </row>
    <row r="14" spans="1:24" ht="14.45" customHeight="1">
      <c r="A14" s="782"/>
      <c r="B14" s="32"/>
      <c r="C14" s="237" t="str">
        <f>IFERROR(VLOOKUP(B14,INGREDIENTS!$A$6:$E$121,3,FALSE),"")</f>
        <v/>
      </c>
      <c r="D14" s="34" t="str">
        <f>IFERROR(VLOOKUP(B14,INGREDIENTS!$A$6:$E$121,2,FALSE),"")</f>
        <v/>
      </c>
      <c r="E14" s="35" t="str">
        <f>IFERROR(VLOOKUP(B14,INGREDIENTS!$A$6:$E$121,5,FALSE),"")</f>
        <v/>
      </c>
      <c r="F14" s="26"/>
      <c r="G14" s="150">
        <f t="shared" si="0"/>
        <v>0</v>
      </c>
      <c r="H14" s="25"/>
      <c r="I14" s="802" t="s">
        <v>628</v>
      </c>
      <c r="J14" s="803"/>
      <c r="K14" s="205"/>
      <c r="L14" s="808" t="s">
        <v>737</v>
      </c>
      <c r="M14" s="809"/>
      <c r="N14" s="808" t="s">
        <v>630</v>
      </c>
      <c r="O14" s="810"/>
    </row>
    <row r="15" spans="1:24" ht="17.100000000000001" customHeight="1">
      <c r="A15" s="782"/>
      <c r="B15" s="32"/>
      <c r="C15" s="237" t="str">
        <f>IFERROR(VLOOKUP(B15,INGREDIENTS!$A$6:$E$121,3,FALSE),"")</f>
        <v/>
      </c>
      <c r="D15" s="34" t="str">
        <f>IFERROR(VLOOKUP(B15,INGREDIENTS!$A$6:$E$121,2,FALSE),"")</f>
        <v/>
      </c>
      <c r="E15" s="35" t="str">
        <f>IFERROR(VLOOKUP(B15,INGREDIENTS!$A$6:$E$121,5,FALSE),"")</f>
        <v/>
      </c>
      <c r="F15" s="26"/>
      <c r="G15" s="150">
        <f t="shared" si="0"/>
        <v>0</v>
      </c>
      <c r="H15" s="25"/>
      <c r="I15" s="804"/>
      <c r="J15" s="805"/>
      <c r="K15" s="38" t="s">
        <v>631</v>
      </c>
      <c r="L15" s="811">
        <v>1.0660000000000001</v>
      </c>
      <c r="M15" s="812"/>
      <c r="N15" s="813"/>
      <c r="O15" s="814"/>
    </row>
    <row r="16" spans="1:24" ht="17.100000000000001" customHeight="1" thickBot="1">
      <c r="A16" s="783"/>
      <c r="B16" s="32"/>
      <c r="C16" s="237" t="str">
        <f>IFERROR(VLOOKUP(B16,INGREDIENTS!$A$6:$E$121,3,FALSE),"")</f>
        <v/>
      </c>
      <c r="D16" s="34" t="str">
        <f>IFERROR(VLOOKUP(B16,INGREDIENTS!$A$6:$E$121,2,FALSE),"")</f>
        <v/>
      </c>
      <c r="E16" s="35" t="str">
        <f>IFERROR(VLOOKUP(B16,INGREDIENTS!$A$6:$E$121,5,FALSE),"")</f>
        <v/>
      </c>
      <c r="F16" s="43"/>
      <c r="G16" s="150">
        <f t="shared" si="0"/>
        <v>0</v>
      </c>
      <c r="H16" s="25"/>
      <c r="I16" s="804"/>
      <c r="J16" s="805"/>
      <c r="K16" s="38" t="s">
        <v>603</v>
      </c>
      <c r="L16" s="815">
        <v>27</v>
      </c>
      <c r="M16" s="816"/>
      <c r="N16" s="817"/>
      <c r="O16" s="818"/>
    </row>
    <row r="17" spans="1:24" ht="17.100000000000001" customHeight="1" thickTop="1" thickBot="1">
      <c r="A17" s="832" t="s">
        <v>637</v>
      </c>
      <c r="B17" s="116"/>
      <c r="C17" s="238" t="str">
        <f>IFERROR(VLOOKUP(B17,INGREDIENTS!$I$6:$L$24,3,FALSE),"")</f>
        <v/>
      </c>
      <c r="D17" s="241" t="str">
        <f>IFERROR(VLOOKUP(B17,INGREDIENTS!$I$6:$L$24,2,FALSE),"")</f>
        <v/>
      </c>
      <c r="E17" s="117" t="str">
        <f>IFERROR(VLOOKUP(B17,INGREDIENTS!$I$6:$L$24,5,FALSE),"")</f>
        <v/>
      </c>
      <c r="F17" s="118"/>
      <c r="G17" s="150">
        <f t="shared" si="0"/>
        <v>0</v>
      </c>
      <c r="H17" s="25"/>
      <c r="I17" s="804"/>
      <c r="J17" s="805"/>
      <c r="K17" s="834" t="s">
        <v>607</v>
      </c>
      <c r="L17" s="836">
        <f>(2.57452*(L15-1)*L16*1000)/(F20*D20)</f>
        <v>0.84630043165467694</v>
      </c>
      <c r="M17" s="837"/>
      <c r="N17" s="840">
        <f>(2.57452*(N15-1)*N16*1000)/(F20*D20)</f>
        <v>0</v>
      </c>
      <c r="O17" s="841"/>
    </row>
    <row r="18" spans="1:24" ht="17.100000000000001" customHeight="1" thickTop="1" thickBot="1">
      <c r="A18" s="833"/>
      <c r="B18" s="166"/>
      <c r="C18" s="238" t="str">
        <f>IFERROR(VLOOKUP(B18,INGREDIENTS!$I$6:$L$24,3,FALSE),"")</f>
        <v/>
      </c>
      <c r="D18" s="241" t="str">
        <f>IFERROR(VLOOKUP(B18,INGREDIENTS!$I$6:$L$24,2,FALSE),"")</f>
        <v/>
      </c>
      <c r="E18" s="117" t="str">
        <f>IFERROR(VLOOKUP(B18,INGREDIENTS!$I$6:$L$24,5,FALSE),"")</f>
        <v/>
      </c>
      <c r="F18" s="43"/>
      <c r="G18" s="150">
        <f t="shared" si="0"/>
        <v>0</v>
      </c>
      <c r="H18" s="25"/>
      <c r="I18" s="806"/>
      <c r="J18" s="807"/>
      <c r="K18" s="835"/>
      <c r="L18" s="838"/>
      <c r="M18" s="839"/>
      <c r="N18" s="842"/>
      <c r="O18" s="843"/>
    </row>
    <row r="19" spans="1:24" ht="17.100000000000001" customHeight="1" thickBot="1">
      <c r="A19" s="167" t="s">
        <v>639</v>
      </c>
      <c r="B19" s="168" t="s">
        <v>640</v>
      </c>
      <c r="C19" s="216">
        <f>2.9396*((4.23*SUMPRODUCT(C10:C16,F10:F16)/1000)/L22)^0.6859</f>
        <v>13.49625144682155</v>
      </c>
      <c r="D19" s="169">
        <f>SUMPRODUCT(D10:D16,G10:G16)</f>
        <v>0.78565217391304343</v>
      </c>
      <c r="E19" s="300">
        <f>SUMPRODUCT(E10:E16,F10:F16)/$F$19</f>
        <v>5.6217391304347828</v>
      </c>
      <c r="F19" s="170">
        <f>SUM(F10:F16)</f>
        <v>6900</v>
      </c>
      <c r="G19" s="171">
        <f>SUM(G10:G16)</f>
        <v>1</v>
      </c>
      <c r="H19" s="197"/>
      <c r="I19" s="801" t="s">
        <v>714</v>
      </c>
      <c r="J19" s="801"/>
      <c r="K19" s="28"/>
      <c r="L19" s="28"/>
      <c r="M19" s="28"/>
      <c r="N19" s="28"/>
      <c r="O19" s="28"/>
    </row>
    <row r="20" spans="1:24" ht="17.45" customHeight="1" thickBot="1">
      <c r="A20" s="151" t="s">
        <v>639</v>
      </c>
      <c r="B20" s="152" t="s">
        <v>641</v>
      </c>
      <c r="C20" s="153">
        <f>2.9396*((4.23*SUMPRODUCT(C10:C18,F10:F18)/1000)/L22)^0.6859</f>
        <v>13.49625144682155</v>
      </c>
      <c r="D20" s="154">
        <f>SUMPRODUCT(D10:D18,G10:G18)</f>
        <v>0.78565217391304343</v>
      </c>
      <c r="E20" s="301">
        <f>SUMPRODUCT(E10:E18,F10:F18)/$F$20</f>
        <v>5.6217391304347828</v>
      </c>
      <c r="F20" s="155">
        <f>SUM(F10:F18)</f>
        <v>6900</v>
      </c>
      <c r="G20" s="156">
        <f>SUM(G10:G18)</f>
        <v>1</v>
      </c>
      <c r="H20" s="197"/>
      <c r="I20" s="844" t="s">
        <v>736</v>
      </c>
      <c r="J20" s="845"/>
      <c r="K20" s="181"/>
      <c r="L20" s="850" t="s">
        <v>737</v>
      </c>
      <c r="M20" s="851"/>
      <c r="N20" s="850" t="s">
        <v>630</v>
      </c>
      <c r="O20" s="852"/>
      <c r="Q20" s="819" t="s">
        <v>675</v>
      </c>
      <c r="R20" s="820"/>
      <c r="S20" s="821"/>
      <c r="U20" s="822" t="s">
        <v>912</v>
      </c>
      <c r="V20" s="823"/>
      <c r="W20" s="824"/>
    </row>
    <row r="21" spans="1:24" ht="18" customHeight="1" thickBot="1">
      <c r="I21" s="846"/>
      <c r="J21" s="847"/>
      <c r="K21" s="39" t="s">
        <v>631</v>
      </c>
      <c r="L21" s="825">
        <v>1.0669999999999999</v>
      </c>
      <c r="M21" s="826"/>
      <c r="N21" s="827"/>
      <c r="O21" s="828"/>
      <c r="Q21" s="829" t="s">
        <v>676</v>
      </c>
      <c r="R21" s="830"/>
      <c r="S21" s="104"/>
      <c r="U21" s="831" t="s">
        <v>916</v>
      </c>
      <c r="V21" s="831"/>
      <c r="W21" s="315">
        <f>E19</f>
        <v>5.6217391304347828</v>
      </c>
    </row>
    <row r="22" spans="1:24" ht="15.6" customHeight="1">
      <c r="A22" s="853" t="s">
        <v>643</v>
      </c>
      <c r="B22" s="856" t="s">
        <v>1</v>
      </c>
      <c r="C22" s="857"/>
      <c r="D22" s="856" t="s">
        <v>588</v>
      </c>
      <c r="E22" s="878"/>
      <c r="F22" s="857"/>
      <c r="G22" s="347" t="s">
        <v>644</v>
      </c>
      <c r="H22" s="15"/>
      <c r="I22" s="846"/>
      <c r="J22" s="847"/>
      <c r="K22" s="40" t="s">
        <v>603</v>
      </c>
      <c r="L22" s="872">
        <v>24</v>
      </c>
      <c r="M22" s="873"/>
      <c r="N22" s="874"/>
      <c r="O22" s="875"/>
      <c r="Q22" s="829" t="s">
        <v>677</v>
      </c>
      <c r="R22" s="830"/>
      <c r="S22" s="115"/>
      <c r="U22" s="831" t="s">
        <v>913</v>
      </c>
      <c r="V22" s="831"/>
      <c r="W22" s="315">
        <v>5.8</v>
      </c>
    </row>
    <row r="23" spans="1:24" ht="14.45" customHeight="1">
      <c r="A23" s="854"/>
      <c r="B23" s="858"/>
      <c r="C23" s="859"/>
      <c r="D23" s="879"/>
      <c r="E23" s="880"/>
      <c r="F23" s="881"/>
      <c r="G23" s="348"/>
      <c r="H23" s="28"/>
      <c r="I23" s="846"/>
      <c r="J23" s="847"/>
      <c r="K23" s="243" t="s">
        <v>635</v>
      </c>
      <c r="L23" s="876">
        <f>(L16-L22)*100/L16</f>
        <v>11.111111111111111</v>
      </c>
      <c r="M23" s="877"/>
      <c r="N23" s="876" t="e">
        <f>(N16-N22)*100/N16</f>
        <v>#DIV/0!</v>
      </c>
      <c r="O23" s="877"/>
      <c r="Q23" s="829" t="s">
        <v>678</v>
      </c>
      <c r="R23" s="830"/>
      <c r="S23" s="104"/>
      <c r="U23" s="860" t="s">
        <v>869</v>
      </c>
      <c r="V23" s="861"/>
      <c r="W23" s="315">
        <v>5.4</v>
      </c>
      <c r="X23" s="227"/>
    </row>
    <row r="24" spans="1:24" ht="14.45" customHeight="1" thickBot="1">
      <c r="A24" s="854"/>
      <c r="B24" s="858"/>
      <c r="C24" s="859"/>
      <c r="D24" s="858"/>
      <c r="E24" s="938"/>
      <c r="F24" s="938"/>
      <c r="G24" s="348"/>
      <c r="H24" s="28"/>
      <c r="I24" s="846"/>
      <c r="J24" s="847"/>
      <c r="K24" s="209" t="s">
        <v>636</v>
      </c>
      <c r="L24" s="210"/>
      <c r="M24" s="210"/>
      <c r="N24" s="211"/>
      <c r="O24" s="182">
        <f>((N15-1)*1000)*N16*2.57452-((N21-1)*1000)*N22*2.57452</f>
        <v>0</v>
      </c>
      <c r="Q24" s="829" t="s">
        <v>679</v>
      </c>
      <c r="R24" s="830"/>
      <c r="S24" s="50" t="s">
        <v>680</v>
      </c>
      <c r="U24" s="860" t="s">
        <v>915</v>
      </c>
      <c r="V24" s="861"/>
      <c r="W24" s="316">
        <v>20</v>
      </c>
      <c r="X24" s="227" t="s">
        <v>868</v>
      </c>
    </row>
    <row r="25" spans="1:24" ht="14.45" customHeight="1" thickBot="1">
      <c r="A25" s="855"/>
      <c r="B25" s="862"/>
      <c r="C25" s="863"/>
      <c r="D25" s="862"/>
      <c r="E25" s="939"/>
      <c r="F25" s="939"/>
      <c r="G25" s="349"/>
      <c r="H25" s="28"/>
      <c r="I25" s="846"/>
      <c r="J25" s="847"/>
      <c r="K25" s="40" t="s">
        <v>718</v>
      </c>
      <c r="L25" s="864">
        <v>10</v>
      </c>
      <c r="M25" s="865"/>
      <c r="N25" s="866">
        <v>85</v>
      </c>
      <c r="O25" s="867"/>
      <c r="Q25" s="829" t="s">
        <v>681</v>
      </c>
      <c r="R25" s="830"/>
      <c r="S25" s="131">
        <f>IF(S24="","",IF(S24="Sucre",(S23-S21)*1000*2.57452,IF(S24="DMS",(S23-S21)*1000*2.66,IF(S24="LMS",(S23-S21)*1000*3.24,IF(S24="Eau",1000*((S21-1)/(S23-1)*S22-S22)/S22)))))</f>
        <v>0</v>
      </c>
      <c r="U25" s="868" t="s">
        <v>914</v>
      </c>
      <c r="V25" s="869"/>
      <c r="W25" s="882">
        <v>0.8</v>
      </c>
    </row>
    <row r="26" spans="1:24" ht="14.45" customHeight="1" thickBot="1">
      <c r="I26" s="846"/>
      <c r="J26" s="847"/>
      <c r="K26" s="40" t="s">
        <v>716</v>
      </c>
      <c r="L26" s="864">
        <v>2</v>
      </c>
      <c r="M26" s="865"/>
      <c r="N26" s="866">
        <v>85</v>
      </c>
      <c r="O26" s="867"/>
      <c r="Q26" s="829" t="s">
        <v>681</v>
      </c>
      <c r="R26" s="830"/>
      <c r="S26" s="130">
        <f>S25*S22</f>
        <v>0</v>
      </c>
      <c r="U26" s="870"/>
      <c r="V26" s="871"/>
      <c r="W26" s="883"/>
    </row>
    <row r="27" spans="1:24" ht="30">
      <c r="A27" s="884" t="s">
        <v>649</v>
      </c>
      <c r="B27" s="157" t="s">
        <v>1</v>
      </c>
      <c r="C27" s="259" t="s">
        <v>650</v>
      </c>
      <c r="D27" s="157" t="s">
        <v>588</v>
      </c>
      <c r="E27" s="157" t="s">
        <v>647</v>
      </c>
      <c r="F27" s="157" t="s">
        <v>633</v>
      </c>
      <c r="G27" s="158" t="s">
        <v>651</v>
      </c>
      <c r="H27" s="15"/>
      <c r="I27" s="846"/>
      <c r="J27" s="847"/>
      <c r="K27" s="40" t="s">
        <v>717</v>
      </c>
      <c r="L27" s="864">
        <v>30</v>
      </c>
      <c r="M27" s="865"/>
      <c r="N27" s="866">
        <v>85</v>
      </c>
      <c r="O27" s="867"/>
      <c r="U27" s="860" t="s">
        <v>644</v>
      </c>
      <c r="V27" s="861"/>
      <c r="W27" s="317">
        <f>((POWER(10,-W23)-POWER(10,-W22))*W24)/(W25/100)/(1.206/1000)</f>
        <v>4.9672025561232473</v>
      </c>
    </row>
    <row r="28" spans="1:24" ht="14.45" customHeight="1" thickBot="1">
      <c r="A28" s="885"/>
      <c r="B28" s="137" t="s">
        <v>804</v>
      </c>
      <c r="C28" s="294">
        <f>IFERROR(VLOOKUP(B28,INGREDIENTS!$R$5:$U$150,4,FALSE), "")</f>
        <v>0.2</v>
      </c>
      <c r="D28" s="137" t="s">
        <v>2570</v>
      </c>
      <c r="E28" s="138">
        <v>30</v>
      </c>
      <c r="F28" s="139">
        <v>25</v>
      </c>
      <c r="G28" s="159">
        <f>IFERROR((VLOOKUP(D28,INGREDIENTS!$AA$6:$AB$14,2,FALSE))*((1.65*(0.000125^($L$31-1))*((1-EXP(-0.04*E28))/4.15))*C28*F28*1000)/($L$32),"")</f>
        <v>11.757407006467572</v>
      </c>
      <c r="H28" s="198"/>
      <c r="I28" s="848"/>
      <c r="J28" s="849"/>
      <c r="K28" s="217" t="s">
        <v>718</v>
      </c>
      <c r="L28" s="887">
        <v>35</v>
      </c>
      <c r="M28" s="888"/>
      <c r="N28" s="889">
        <v>20</v>
      </c>
      <c r="O28" s="890"/>
    </row>
    <row r="29" spans="1:24" ht="14.45" customHeight="1" thickBot="1">
      <c r="A29" s="885"/>
      <c r="B29" s="137" t="s">
        <v>136</v>
      </c>
      <c r="C29" s="294">
        <f>IFERROR(VLOOKUP(B29,INGREDIENTS!$R$5:$U$150,4,FALSE), "")</f>
        <v>0.14000000000000001</v>
      </c>
      <c r="D29" s="137" t="s">
        <v>2570</v>
      </c>
      <c r="E29" s="138">
        <v>30</v>
      </c>
      <c r="F29" s="139">
        <v>25</v>
      </c>
      <c r="G29" s="159">
        <f>IFERROR((VLOOKUP(D29,INGREDIENTS!$AA$6:$AB$14,2,FALSE))*((1.65*(0.000125^($L$31-1))*((1-EXP(-0.04*E29))/4.15))*C29*F29*1000)/($L$32),"")</f>
        <v>8.2301849045273006</v>
      </c>
      <c r="H29" s="198"/>
      <c r="I29" s="242" t="s">
        <v>714</v>
      </c>
      <c r="J29" s="218"/>
    </row>
    <row r="30" spans="1:24" ht="15" customHeight="1">
      <c r="A30" s="885"/>
      <c r="B30" s="137" t="s">
        <v>193</v>
      </c>
      <c r="C30" s="294">
        <f>IFERROR(VLOOKUP(B30,INGREDIENTS!$R$5:$U$150,4,FALSE), "")</f>
        <v>0.13</v>
      </c>
      <c r="D30" s="137" t="s">
        <v>2570</v>
      </c>
      <c r="E30" s="138">
        <v>30</v>
      </c>
      <c r="F30" s="139">
        <v>25</v>
      </c>
      <c r="G30" s="159">
        <f>IFERROR((VLOOKUP(D30,INGREDIENTS!$AA$6:$AB$14,2,FALSE))*((1.65*(0.000125^($L$31-1))*((1-EXP(-0.04*E30))/4.15))*C30*F30*1000)/($L$32),"")</f>
        <v>7.6423145542039235</v>
      </c>
      <c r="H30" s="198"/>
      <c r="I30" s="891" t="s">
        <v>638</v>
      </c>
      <c r="J30" s="892"/>
      <c r="K30" s="179"/>
      <c r="L30" s="897" t="s">
        <v>737</v>
      </c>
      <c r="M30" s="898"/>
      <c r="N30" s="180" t="s">
        <v>630</v>
      </c>
      <c r="O30" s="207"/>
    </row>
    <row r="31" spans="1:24" ht="15.6" customHeight="1">
      <c r="A31" s="885"/>
      <c r="B31" s="137"/>
      <c r="C31" s="294" t="str">
        <f>IFERROR(VLOOKUP(B31,INGREDIENTS!$R$5:$U$150,4,FALSE), "")</f>
        <v/>
      </c>
      <c r="D31" s="137"/>
      <c r="E31" s="138"/>
      <c r="F31" s="139"/>
      <c r="G31" s="159" t="str">
        <f>IFERROR((VLOOKUP(D31,INGREDIENTS!$AA$6:$AB$14,2,FALSE))*((1.65*(0.000125^($L$31-1))*((1-EXP(-0.04*E31))/4.15))*C31*F31*1000)/($L$32),"")</f>
        <v/>
      </c>
      <c r="H31" s="198"/>
      <c r="I31" s="893"/>
      <c r="J31" s="894"/>
      <c r="K31" s="49" t="s">
        <v>604</v>
      </c>
      <c r="L31" s="899">
        <v>1.0669999999999999</v>
      </c>
      <c r="M31" s="900"/>
      <c r="N31" s="901">
        <v>1.0629999999999999</v>
      </c>
      <c r="O31" s="902"/>
    </row>
    <row r="32" spans="1:24" ht="15.6" customHeight="1">
      <c r="A32" s="885"/>
      <c r="B32" s="137" t="s">
        <v>804</v>
      </c>
      <c r="C32" s="294">
        <f>IFERROR(VLOOKUP(B32,INGREDIENTS!$R$5:$U$150,4,FALSE), "")</f>
        <v>0.2</v>
      </c>
      <c r="D32" s="137" t="s">
        <v>598</v>
      </c>
      <c r="E32" s="138" t="s">
        <v>805</v>
      </c>
      <c r="F32" s="139">
        <v>30</v>
      </c>
      <c r="G32" s="159" t="str">
        <f>IFERROR((VLOOKUP(D32,INGREDIENTS!$AA$6:$AB$14,2,FALSE))*((1.65*(0.000125^($L$31-1))*((1-EXP(-0.04*E32))/4.15))*C32*F32*1000)/($L$32),"")</f>
        <v/>
      </c>
      <c r="H32" s="198"/>
      <c r="I32" s="893"/>
      <c r="J32" s="894"/>
      <c r="K32" s="49" t="s">
        <v>603</v>
      </c>
      <c r="L32" s="903">
        <v>22</v>
      </c>
      <c r="M32" s="904"/>
      <c r="N32" s="905">
        <v>20</v>
      </c>
      <c r="O32" s="906"/>
    </row>
    <row r="33" spans="1:15" ht="17.100000000000001" customHeight="1">
      <c r="A33" s="885"/>
      <c r="B33" s="137" t="s">
        <v>136</v>
      </c>
      <c r="C33" s="294">
        <f>IFERROR(VLOOKUP(B33,INGREDIENTS!$R$5:$U$150,4,FALSE), "")</f>
        <v>0.14000000000000001</v>
      </c>
      <c r="D33" s="137" t="s">
        <v>598</v>
      </c>
      <c r="E33" s="138" t="s">
        <v>805</v>
      </c>
      <c r="F33" s="139">
        <v>60</v>
      </c>
      <c r="G33" s="159" t="str">
        <f>IFERROR((VLOOKUP(D33,INGREDIENTS!$AA$6:$AB$14,2,FALSE))*((1.65*(0.000125^($L$31-1))*((1-EXP(-0.04*E33))/4.15))*C33*F33*1000)/($L$32),"")</f>
        <v/>
      </c>
      <c r="H33" s="198"/>
      <c r="I33" s="893"/>
      <c r="J33" s="894"/>
      <c r="K33" s="907" t="s">
        <v>642</v>
      </c>
      <c r="L33" s="909">
        <v>0.6952285714285712</v>
      </c>
      <c r="M33" s="910"/>
      <c r="N33" s="909">
        <f>(2.57452*N32*(N31-1)*1000)/(D20*F20)</f>
        <v>0.59839424460431601</v>
      </c>
      <c r="O33" s="913"/>
    </row>
    <row r="34" spans="1:15" ht="17.100000000000001" customHeight="1" thickBot="1">
      <c r="A34" s="885"/>
      <c r="B34" s="137" t="s">
        <v>193</v>
      </c>
      <c r="C34" s="294">
        <f>IFERROR(VLOOKUP(B34,INGREDIENTS!$R$5:$U$150,4,FALSE), "")</f>
        <v>0.13</v>
      </c>
      <c r="D34" s="137" t="s">
        <v>598</v>
      </c>
      <c r="E34" s="138" t="s">
        <v>805</v>
      </c>
      <c r="F34" s="139">
        <v>60</v>
      </c>
      <c r="G34" s="159" t="str">
        <f>IFERROR((VLOOKUP(D34,INGREDIENTS!$AA$6:$AB$14,2,FALSE))*((1.65*(0.000125^($L$31-1))*((1-EXP(-0.04*E34))/4.15))*C34*F34*1000)/($L$32),"")</f>
        <v/>
      </c>
      <c r="H34" s="198"/>
      <c r="I34" s="895"/>
      <c r="J34" s="896"/>
      <c r="K34" s="908"/>
      <c r="L34" s="911"/>
      <c r="M34" s="912"/>
      <c r="N34" s="911"/>
      <c r="O34" s="914"/>
    </row>
    <row r="35" spans="1:15" ht="17.100000000000001" customHeight="1" thickBot="1">
      <c r="A35" s="885"/>
      <c r="B35" s="137"/>
      <c r="C35" s="294" t="str">
        <f>IFERROR(VLOOKUP(B35,INGREDIENTS!$R$5:$U$150,4,FALSE), "")</f>
        <v/>
      </c>
      <c r="D35" s="137"/>
      <c r="E35" s="138"/>
      <c r="F35" s="139"/>
      <c r="G35" s="159" t="str">
        <f>IFERROR((VLOOKUP(D35,INGREDIENTS!$AA$6:$AB$14,2,FALSE))*((1.65*(0.000125^($L$31-1))*((1-EXP(-0.04*E35))/4.15))*C35*F35*1000)/($L$32),"")</f>
        <v/>
      </c>
      <c r="H35" s="198"/>
      <c r="I35" s="801" t="s">
        <v>714</v>
      </c>
      <c r="J35" s="801"/>
      <c r="K35" s="28"/>
      <c r="L35" s="28"/>
      <c r="M35" s="28"/>
      <c r="N35" s="28"/>
      <c r="O35" s="28"/>
    </row>
    <row r="36" spans="1:15" ht="14.45" customHeight="1">
      <c r="A36" s="885"/>
      <c r="B36" s="137" t="s">
        <v>804</v>
      </c>
      <c r="C36" s="294">
        <f>IFERROR(VLOOKUP(B36,INGREDIENTS!$R$5:$U$150,4,FALSE), "")</f>
        <v>0.2</v>
      </c>
      <c r="D36" s="137" t="s">
        <v>672</v>
      </c>
      <c r="E36" s="138" t="s">
        <v>753</v>
      </c>
      <c r="F36" s="139">
        <v>30</v>
      </c>
      <c r="G36" s="159" t="str">
        <f>IFERROR((VLOOKUP(D36,INGREDIENTS!$AA$6:$AB$14,2,FALSE))*((1.65*(0.000125^($L$31-1))*((1-EXP(-0.04*E36))/4.15))*C36*F36*1000)/($L$32),"")</f>
        <v/>
      </c>
      <c r="H36" s="198"/>
      <c r="I36" s="917" t="s">
        <v>645</v>
      </c>
      <c r="J36" s="918"/>
      <c r="K36" s="923" t="s">
        <v>674</v>
      </c>
      <c r="L36" s="183" t="s">
        <v>646</v>
      </c>
      <c r="M36" s="184" t="s">
        <v>647</v>
      </c>
      <c r="N36" s="185" t="s">
        <v>605</v>
      </c>
      <c r="O36" s="186" t="s">
        <v>648</v>
      </c>
    </row>
    <row r="37" spans="1:15" ht="14.45" customHeight="1">
      <c r="A37" s="885"/>
      <c r="B37" s="137" t="s">
        <v>193</v>
      </c>
      <c r="C37" s="294">
        <f>IFERROR(VLOOKUP(B37,INGREDIENTS!$R$5:$U$150,4,FALSE), "")</f>
        <v>0.13</v>
      </c>
      <c r="D37" s="137" t="s">
        <v>672</v>
      </c>
      <c r="E37" s="138" t="s">
        <v>753</v>
      </c>
      <c r="F37" s="139">
        <v>70</v>
      </c>
      <c r="G37" s="159" t="str">
        <f>IFERROR((VLOOKUP(D37,INGREDIENTS!$AA$6:$AB$14,2,FALSE))*((1.65*(0.000125^($L$31-1))*((1-EXP(-0.04*E37))/4.15))*C37*F37*1000)/($L$32),"")</f>
        <v/>
      </c>
      <c r="H37" s="198"/>
      <c r="I37" s="919"/>
      <c r="J37" s="920"/>
      <c r="K37" s="924"/>
      <c r="L37" s="44">
        <v>20</v>
      </c>
      <c r="M37" s="45">
        <v>20</v>
      </c>
      <c r="N37" s="46">
        <v>45660</v>
      </c>
      <c r="O37" s="187">
        <f>N37+M37</f>
        <v>45680</v>
      </c>
    </row>
    <row r="38" spans="1:15" ht="14.45" customHeight="1">
      <c r="A38" s="885"/>
      <c r="B38" s="137"/>
      <c r="C38" s="294" t="str">
        <f>IFERROR(VLOOKUP(B38,INGREDIENTS!$R$5:$U$150,4,FALSE), "")</f>
        <v/>
      </c>
      <c r="D38" s="137"/>
      <c r="E38" s="138"/>
      <c r="F38" s="139"/>
      <c r="G38" s="159" t="str">
        <f>IFERROR((VLOOKUP(D38,INGREDIENTS!$AA$6:$AB$14,2,FALSE))*((1.65*(0.000125^($L$31-1))*((1-EXP(-0.04*E38))/4.15))*C38*F38*1000)/($L$32),"")</f>
        <v/>
      </c>
      <c r="H38" s="198"/>
      <c r="I38" s="919"/>
      <c r="J38" s="920"/>
      <c r="K38" s="924"/>
      <c r="L38" s="33" t="s">
        <v>667</v>
      </c>
      <c r="M38" s="45"/>
      <c r="N38" s="46"/>
      <c r="O38" s="187"/>
    </row>
    <row r="39" spans="1:15" ht="14.45" customHeight="1">
      <c r="A39" s="885"/>
      <c r="B39" s="137"/>
      <c r="C39" s="294" t="str">
        <f>IFERROR(VLOOKUP(B39,INGREDIENTS!$R$5:$U$150,4,FALSE), "")</f>
        <v/>
      </c>
      <c r="D39" s="137"/>
      <c r="E39" s="138"/>
      <c r="F39" s="139"/>
      <c r="G39" s="159" t="str">
        <f>IFERROR((VLOOKUP(D39,INGREDIENTS!$AA$6:$AB$14,2,FALSE))*((1.65*(0.000125^($L$31-1))*((1-EXP(-0.04*E39))/4.15))*C39*F39*1000)/($L$32),"")</f>
        <v/>
      </c>
      <c r="H39" s="198"/>
      <c r="I39" s="919"/>
      <c r="J39" s="920"/>
      <c r="K39" s="924"/>
      <c r="L39" s="33" t="s">
        <v>668</v>
      </c>
      <c r="M39" s="45" t="s">
        <v>671</v>
      </c>
      <c r="N39" s="46">
        <f>N37+3</f>
        <v>45663</v>
      </c>
      <c r="O39" s="187"/>
    </row>
    <row r="40" spans="1:15" ht="17.45" customHeight="1">
      <c r="A40" s="885"/>
      <c r="B40" s="137"/>
      <c r="C40" s="294" t="str">
        <f>IFERROR(VLOOKUP(B40,INGREDIENTS!$R$5:$U$150,4,FALSE), "")</f>
        <v/>
      </c>
      <c r="D40" s="137"/>
      <c r="E40" s="138"/>
      <c r="F40" s="139"/>
      <c r="G40" s="159" t="str">
        <f>IFERROR((VLOOKUP(D40,INGREDIENTS!$AA$6:$AB$14,2,FALSE))*((1.65*(0.000125^($L$31-1))*((1-EXP(-0.04*E40))/4.15))*C40*F40*1000)/($L$32),"")</f>
        <v/>
      </c>
      <c r="H40" s="199"/>
      <c r="I40" s="919"/>
      <c r="J40" s="920"/>
      <c r="K40" s="924"/>
      <c r="L40" s="33" t="s">
        <v>806</v>
      </c>
      <c r="M40" s="45" t="s">
        <v>672</v>
      </c>
      <c r="N40" s="46">
        <f>N39+15</f>
        <v>45678</v>
      </c>
      <c r="O40" s="187"/>
    </row>
    <row r="41" spans="1:15" ht="14.45" customHeight="1">
      <c r="A41" s="885"/>
      <c r="B41" s="137"/>
      <c r="C41" s="294" t="str">
        <f>IFERROR(VLOOKUP(B41,INGREDIENTS!$R$5:$U$150,4,FALSE), "")</f>
        <v/>
      </c>
      <c r="D41" s="137"/>
      <c r="E41" s="138"/>
      <c r="F41" s="139"/>
      <c r="G41" s="159" t="str">
        <f>IFERROR((VLOOKUP(D41,INGREDIENTS!$AA$6:$AB$14,2,FALSE))*((1.65*(0.000125^($L$31-1))*((1-EXP(-0.04*E41))/4.15))*C41*F41*1000)/($L$32),"")</f>
        <v/>
      </c>
      <c r="H41" s="28"/>
      <c r="I41" s="919"/>
      <c r="J41" s="920"/>
      <c r="K41" s="924"/>
      <c r="L41" s="33" t="s">
        <v>670</v>
      </c>
      <c r="M41" s="45" t="s">
        <v>673</v>
      </c>
      <c r="N41" s="46">
        <f>N37+16</f>
        <v>45676</v>
      </c>
      <c r="O41" s="187"/>
    </row>
    <row r="42" spans="1:15" ht="14.45" customHeight="1">
      <c r="A42" s="885"/>
      <c r="B42" s="137"/>
      <c r="C42" s="294" t="str">
        <f>IFERROR(VLOOKUP(B42,INGREDIENTS!$R$5:$U$150,4,FALSE), "")</f>
        <v/>
      </c>
      <c r="D42" s="137"/>
      <c r="E42" s="138"/>
      <c r="F42" s="139"/>
      <c r="G42" s="159" t="str">
        <f>IFERROR((VLOOKUP(D42,INGREDIENTS!$AA$6:$AB$14,2,FALSE))*((1.65*(0.000125^($L$31-1))*((1-EXP(-0.04*E42))/4.15))*C42*F42*1000)/($L$32),"")</f>
        <v/>
      </c>
      <c r="H42" s="197"/>
      <c r="I42" s="919"/>
      <c r="J42" s="920"/>
      <c r="K42" s="925"/>
      <c r="L42" s="33" t="s">
        <v>723</v>
      </c>
      <c r="M42" s="45"/>
      <c r="N42" s="46">
        <f>N37+20</f>
        <v>45680</v>
      </c>
      <c r="O42" s="187"/>
    </row>
    <row r="43" spans="1:15" ht="14.45" customHeight="1" thickBot="1">
      <c r="A43" s="886"/>
      <c r="B43" s="137"/>
      <c r="C43" s="294" t="str">
        <f>IFERROR(VLOOKUP(B43,INGREDIENTS!$R$5:$U$150,4,FALSE), "")</f>
        <v/>
      </c>
      <c r="D43" s="137"/>
      <c r="E43" s="138"/>
      <c r="F43" s="139"/>
      <c r="G43" s="159" t="str">
        <f>IFERROR((VLOOKUP(D43,INGREDIENTS!$AA$6:$AB$14,2,FALSE))*((1.65*(0.000125^($L$31-1))*((1-EXP(-0.04*E43))/4.15))*C43*F43*1000)/($L$32),"")</f>
        <v/>
      </c>
      <c r="H43" s="25"/>
      <c r="I43" s="919"/>
      <c r="J43" s="920"/>
      <c r="K43" s="926" t="s">
        <v>652</v>
      </c>
      <c r="L43" s="927"/>
      <c r="M43" s="927"/>
      <c r="N43" s="927"/>
      <c r="O43" s="928"/>
    </row>
    <row r="44" spans="1:15" ht="14.45" customHeight="1" thickBot="1">
      <c r="A44" s="160"/>
      <c r="B44" s="161" t="s">
        <v>656</v>
      </c>
      <c r="C44" s="162"/>
      <c r="D44" s="162"/>
      <c r="E44" s="163"/>
      <c r="F44" s="164">
        <f>SUM(F28:F43)</f>
        <v>325</v>
      </c>
      <c r="G44" s="165">
        <f>SUM(G28:G43)</f>
        <v>27.629906465198797</v>
      </c>
      <c r="H44" s="25"/>
      <c r="I44" s="919"/>
      <c r="J44" s="920"/>
      <c r="K44" s="929" t="s">
        <v>605</v>
      </c>
      <c r="L44" s="42" t="s">
        <v>631</v>
      </c>
      <c r="M44" s="42" t="s">
        <v>653</v>
      </c>
      <c r="N44" s="42"/>
      <c r="O44" s="188" t="s">
        <v>654</v>
      </c>
    </row>
    <row r="45" spans="1:15" ht="14.45" customHeight="1">
      <c r="H45" s="25"/>
      <c r="I45" s="919"/>
      <c r="J45" s="920"/>
      <c r="K45" s="924"/>
      <c r="L45" s="195"/>
      <c r="M45" s="119" t="s">
        <v>623</v>
      </c>
      <c r="N45" s="120" t="s">
        <v>623</v>
      </c>
      <c r="O45" s="189" t="s">
        <v>623</v>
      </c>
    </row>
    <row r="46" spans="1:15" ht="18.600000000000001" customHeight="1">
      <c r="A46" s="931" t="s">
        <v>657</v>
      </c>
      <c r="B46" s="196" t="s">
        <v>1</v>
      </c>
      <c r="C46" s="2" t="s">
        <v>752</v>
      </c>
      <c r="D46" s="196" t="s">
        <v>69</v>
      </c>
      <c r="E46" s="196" t="s">
        <v>70</v>
      </c>
      <c r="F46" s="934" t="s">
        <v>658</v>
      </c>
      <c r="G46" s="935"/>
      <c r="H46" s="25"/>
      <c r="I46" s="919"/>
      <c r="J46" s="920"/>
      <c r="K46" s="924"/>
      <c r="L46" s="48"/>
      <c r="M46" s="119" t="s">
        <v>623</v>
      </c>
      <c r="N46" s="120" t="s">
        <v>623</v>
      </c>
      <c r="O46" s="189" t="s">
        <v>623</v>
      </c>
    </row>
    <row r="47" spans="1:15" ht="14.45" customHeight="1">
      <c r="A47" s="932"/>
      <c r="B47" s="3" t="s">
        <v>824</v>
      </c>
      <c r="C47" s="293" t="s">
        <v>735</v>
      </c>
      <c r="D47" s="240" t="str">
        <f>IFERROR(VLOOKUP(B47,INGREDIENTS!$AF$6:$AT$37,7,FALSE),"")</f>
        <v/>
      </c>
      <c r="E47" s="240" t="str">
        <f>IFERROR(VLOOKUP(B47,INGREDIENTS!$AF$6:$AT$37,8,FALSE),"")</f>
        <v/>
      </c>
      <c r="F47" s="936" t="str">
        <f>IFERROR(VLOOKUP(B47,INGREDIENTS!$AF$6:$AT$37,6,FALSE),"")</f>
        <v/>
      </c>
      <c r="G47" s="937"/>
      <c r="I47" s="919"/>
      <c r="J47" s="920"/>
      <c r="K47" s="924"/>
      <c r="L47" s="48"/>
      <c r="M47" s="119" t="s">
        <v>623</v>
      </c>
      <c r="N47" s="120" t="s">
        <v>623</v>
      </c>
      <c r="O47" s="189" t="s">
        <v>623</v>
      </c>
    </row>
    <row r="48" spans="1:15" ht="14.45" customHeight="1">
      <c r="A48" s="932"/>
      <c r="B48" s="3"/>
      <c r="C48" s="293"/>
      <c r="D48" s="240" t="str">
        <f>IFERROR(VLOOKUP(B48,INGREDIENTS!$AF$6:$AT$37,7,FALSE),"")</f>
        <v/>
      </c>
      <c r="E48" s="240" t="str">
        <f>IFERROR(VLOOKUP(B48,INGREDIENTS!$AF$6:$AT$37,8,FALSE),"")</f>
        <v/>
      </c>
      <c r="F48" s="936" t="str">
        <f>IFERROR(VLOOKUP(B48,INGREDIENTS!AF7:AT38,5,FALSE),"")</f>
        <v/>
      </c>
      <c r="G48" s="937"/>
      <c r="I48" s="919"/>
      <c r="J48" s="920"/>
      <c r="K48" s="924"/>
      <c r="L48" s="48"/>
      <c r="M48" s="119" t="s">
        <v>623</v>
      </c>
      <c r="N48" s="120" t="s">
        <v>623</v>
      </c>
      <c r="O48" s="189" t="s">
        <v>623</v>
      </c>
    </row>
    <row r="49" spans="1:15" ht="14.45" customHeight="1" thickBot="1">
      <c r="A49" s="932"/>
      <c r="B49" s="3"/>
      <c r="C49" s="293"/>
      <c r="D49" s="240" t="str">
        <f>IFERROR(VLOOKUP(B49,INGREDIENTS!$AF$6:$AT$37,7,FALSE),"")</f>
        <v/>
      </c>
      <c r="E49" s="240" t="str">
        <f>IFERROR(VLOOKUP(B49,INGREDIENTS!$AF$6:$AT$37,8,FALSE),"")</f>
        <v/>
      </c>
      <c r="F49" s="936" t="str">
        <f>IFERROR(VLOOKUP(B49,INGREDIENTS!AF8:AT39,5,FALSE),"")</f>
        <v/>
      </c>
      <c r="G49" s="937"/>
      <c r="I49" s="921"/>
      <c r="J49" s="922"/>
      <c r="K49" s="930"/>
      <c r="L49" s="190"/>
      <c r="M49" s="191"/>
      <c r="N49" s="192" t="s">
        <v>623</v>
      </c>
      <c r="O49" s="193" t="s">
        <v>623</v>
      </c>
    </row>
    <row r="50" spans="1:15" ht="15" customHeight="1" thickBot="1">
      <c r="A50" s="933"/>
      <c r="B50" s="3"/>
      <c r="C50" s="293"/>
      <c r="D50" s="240" t="str">
        <f>IFERROR(VLOOKUP(B50,INGREDIENTS!$AF$6:$AT$37,7,FALSE),"")</f>
        <v/>
      </c>
      <c r="E50" s="240" t="str">
        <f>IFERROR(VLOOKUP(B50,INGREDIENTS!$AF$6:$AT$37,8,FALSE),"")</f>
        <v/>
      </c>
      <c r="F50" s="936" t="str">
        <f>IFERROR(VLOOKUP(B50,INGREDIENTS!AF9:AT40,5,FALSE),"")</f>
        <v/>
      </c>
      <c r="G50" s="937"/>
      <c r="I50" s="801" t="s">
        <v>714</v>
      </c>
      <c r="J50" s="801"/>
    </row>
    <row r="51" spans="1:15" ht="14.45" customHeight="1">
      <c r="I51" s="960" t="s">
        <v>655</v>
      </c>
      <c r="J51" s="961"/>
      <c r="K51" s="194">
        <v>43857</v>
      </c>
      <c r="L51" s="966" t="s">
        <v>629</v>
      </c>
      <c r="M51" s="967"/>
      <c r="N51" s="966" t="s">
        <v>630</v>
      </c>
      <c r="O51" s="968"/>
    </row>
    <row r="52" spans="1:15" ht="14.45" customHeight="1">
      <c r="I52" s="962"/>
      <c r="J52" s="963"/>
      <c r="K52" s="208" t="s">
        <v>603</v>
      </c>
      <c r="L52" s="969">
        <v>20</v>
      </c>
      <c r="M52" s="970"/>
      <c r="N52" s="971">
        <v>17</v>
      </c>
      <c r="O52" s="972"/>
    </row>
    <row r="53" spans="1:15" ht="14.45" customHeight="1">
      <c r="I53" s="962"/>
      <c r="J53" s="963"/>
      <c r="K53" s="212" t="s">
        <v>606</v>
      </c>
      <c r="L53" s="973">
        <v>1.02</v>
      </c>
      <c r="M53" s="974"/>
      <c r="N53" s="975">
        <v>1.0189999999999999</v>
      </c>
      <c r="O53" s="976"/>
    </row>
    <row r="54" spans="1:15" ht="14.45" customHeight="1">
      <c r="I54" s="962"/>
      <c r="J54" s="963"/>
      <c r="K54" s="208" t="s">
        <v>653</v>
      </c>
      <c r="L54" s="915" t="str">
        <f>F47</f>
        <v/>
      </c>
      <c r="M54" s="916"/>
      <c r="N54" s="915">
        <f>(N31-L53)/(N31-1)</f>
        <v>0.682539682539682</v>
      </c>
      <c r="O54" s="952"/>
    </row>
    <row r="55" spans="1:15" ht="14.45" customHeight="1">
      <c r="I55" s="962"/>
      <c r="J55" s="963"/>
      <c r="K55" s="208" t="s">
        <v>659</v>
      </c>
      <c r="L55" s="953">
        <f>(76.08*(L31-L53)/(1.775-L31))*(L53/0.794)</f>
        <v>6.488058745677316</v>
      </c>
      <c r="M55" s="954"/>
      <c r="N55" s="953">
        <f>(76.08*(N31-N53)/(1.775-N31))*(N53/0.794)</f>
        <v>6.0338827724789903</v>
      </c>
      <c r="O55" s="954"/>
    </row>
    <row r="56" spans="1:15" ht="14.45" customHeight="1">
      <c r="I56" s="962"/>
      <c r="J56" s="963"/>
      <c r="K56" s="41" t="s">
        <v>660</v>
      </c>
      <c r="L56" s="955" t="s">
        <v>808</v>
      </c>
      <c r="M56" s="956"/>
      <c r="N56" s="955">
        <v>2.5</v>
      </c>
      <c r="O56" s="957"/>
    </row>
    <row r="57" spans="1:15" ht="14.45" customHeight="1">
      <c r="I57" s="962"/>
      <c r="J57" s="963"/>
      <c r="K57" s="958" t="s">
        <v>661</v>
      </c>
      <c r="L57" s="959"/>
      <c r="M57" s="958" t="s">
        <v>662</v>
      </c>
      <c r="N57" s="959"/>
      <c r="O57" s="219" t="s">
        <v>721</v>
      </c>
    </row>
    <row r="58" spans="1:15" ht="14.45" customHeight="1" thickBot="1">
      <c r="I58" s="962"/>
      <c r="J58" s="963"/>
      <c r="K58" s="940">
        <v>5.5</v>
      </c>
      <c r="L58" s="941"/>
      <c r="M58" s="942">
        <f>K58*L52</f>
        <v>110</v>
      </c>
      <c r="N58" s="943"/>
      <c r="O58" s="234">
        <v>1.6</v>
      </c>
    </row>
    <row r="59" spans="1:15">
      <c r="I59" s="962"/>
      <c r="J59" s="963"/>
      <c r="K59" s="944" t="s">
        <v>722</v>
      </c>
      <c r="L59" s="944"/>
      <c r="M59" s="945"/>
      <c r="N59" s="230" t="s">
        <v>719</v>
      </c>
      <c r="O59" s="231">
        <f>K58*0.75*1000/(M58/O58)</f>
        <v>60</v>
      </c>
    </row>
    <row r="60" spans="1:15" ht="15" customHeight="1" thickBot="1">
      <c r="I60" s="964"/>
      <c r="J60" s="965"/>
      <c r="K60" s="229"/>
      <c r="L60" s="229"/>
      <c r="M60" s="229"/>
      <c r="N60" s="232" t="s">
        <v>720</v>
      </c>
      <c r="O60" s="233">
        <f>K58*0.33*1000/(M58/O58)</f>
        <v>26.400000000000002</v>
      </c>
    </row>
    <row r="61" spans="1:15" ht="15.75" thickBot="1">
      <c r="I61" s="801" t="s">
        <v>714</v>
      </c>
      <c r="J61" s="801"/>
      <c r="K61" t="s">
        <v>858</v>
      </c>
    </row>
    <row r="62" spans="1:15">
      <c r="I62" t="s">
        <v>859</v>
      </c>
    </row>
    <row r="64" spans="1:15">
      <c r="O64" s="220"/>
    </row>
    <row r="65" spans="15:21">
      <c r="O65" s="220"/>
    </row>
    <row r="66" spans="15:21">
      <c r="O66" s="220"/>
      <c r="P66" s="221"/>
    </row>
    <row r="67" spans="15:21">
      <c r="O67" s="220"/>
      <c r="P67" s="221"/>
    </row>
    <row r="68" spans="15:21">
      <c r="O68" s="222"/>
      <c r="P68" s="223"/>
    </row>
    <row r="69" spans="15:21">
      <c r="O69" s="222"/>
      <c r="P69" s="223"/>
    </row>
    <row r="70" spans="15:21">
      <c r="O70" s="220"/>
      <c r="P70" s="224"/>
    </row>
    <row r="72" spans="15:21">
      <c r="R72" s="225"/>
      <c r="S72" s="226"/>
      <c r="U72" s="18"/>
    </row>
    <row r="73" spans="15:21">
      <c r="R73" s="225"/>
      <c r="S73" s="226"/>
      <c r="U73" s="18"/>
    </row>
    <row r="74" spans="15:21">
      <c r="R74" s="227"/>
      <c r="U74" s="16"/>
    </row>
    <row r="75" spans="15:21">
      <c r="O75" s="228"/>
      <c r="R75" s="225"/>
      <c r="S75" s="226"/>
      <c r="U75" s="16"/>
    </row>
  </sheetData>
  <mergeCells count="122">
    <mergeCell ref="U20:W20"/>
    <mergeCell ref="U21:V21"/>
    <mergeCell ref="U22:V22"/>
    <mergeCell ref="U23:V23"/>
    <mergeCell ref="U24:V24"/>
    <mergeCell ref="U25:V26"/>
    <mergeCell ref="W25:W26"/>
    <mergeCell ref="Q26:R26"/>
    <mergeCell ref="U27:V27"/>
    <mergeCell ref="Q20:S20"/>
    <mergeCell ref="A17:A18"/>
    <mergeCell ref="A9:A16"/>
    <mergeCell ref="A46:A50"/>
    <mergeCell ref="I61:J61"/>
    <mergeCell ref="N54:O54"/>
    <mergeCell ref="L55:M55"/>
    <mergeCell ref="N55:O55"/>
    <mergeCell ref="L56:M56"/>
    <mergeCell ref="N56:O56"/>
    <mergeCell ref="K57:L57"/>
    <mergeCell ref="M57:N57"/>
    <mergeCell ref="F49:G49"/>
    <mergeCell ref="F50:G50"/>
    <mergeCell ref="I50:J50"/>
    <mergeCell ref="I51:J60"/>
    <mergeCell ref="L51:M51"/>
    <mergeCell ref="N51:O51"/>
    <mergeCell ref="L52:M52"/>
    <mergeCell ref="N52:O52"/>
    <mergeCell ref="L53:M53"/>
    <mergeCell ref="N53:O53"/>
    <mergeCell ref="L54:M54"/>
    <mergeCell ref="K58:L58"/>
    <mergeCell ref="M58:N58"/>
    <mergeCell ref="K59:M59"/>
    <mergeCell ref="N31:O31"/>
    <mergeCell ref="L32:M32"/>
    <mergeCell ref="N32:O32"/>
    <mergeCell ref="K33:K34"/>
    <mergeCell ref="L33:M34"/>
    <mergeCell ref="N33:O34"/>
    <mergeCell ref="L26:M26"/>
    <mergeCell ref="N26:O26"/>
    <mergeCell ref="A27:A43"/>
    <mergeCell ref="L27:M27"/>
    <mergeCell ref="N27:O27"/>
    <mergeCell ref="L28:M28"/>
    <mergeCell ref="N28:O28"/>
    <mergeCell ref="I30:J34"/>
    <mergeCell ref="L30:M30"/>
    <mergeCell ref="L31:M31"/>
    <mergeCell ref="I35:J35"/>
    <mergeCell ref="I36:J49"/>
    <mergeCell ref="K36:K42"/>
    <mergeCell ref="K43:O43"/>
    <mergeCell ref="K44:K49"/>
    <mergeCell ref="F46:G46"/>
    <mergeCell ref="F47:G47"/>
    <mergeCell ref="F48:G48"/>
    <mergeCell ref="B24:C24"/>
    <mergeCell ref="Q24:R24"/>
    <mergeCell ref="B25:C25"/>
    <mergeCell ref="L25:M25"/>
    <mergeCell ref="N25:O25"/>
    <mergeCell ref="Q25:R25"/>
    <mergeCell ref="Q21:R21"/>
    <mergeCell ref="A22:A25"/>
    <mergeCell ref="B22:C22"/>
    <mergeCell ref="L22:M22"/>
    <mergeCell ref="N22:O22"/>
    <mergeCell ref="Q22:R22"/>
    <mergeCell ref="B23:C23"/>
    <mergeCell ref="L23:M23"/>
    <mergeCell ref="N23:O23"/>
    <mergeCell ref="Q23:R23"/>
    <mergeCell ref="D22:F22"/>
    <mergeCell ref="D23:F23"/>
    <mergeCell ref="D24:F24"/>
    <mergeCell ref="D25:F25"/>
    <mergeCell ref="I19:J19"/>
    <mergeCell ref="I20:J28"/>
    <mergeCell ref="L20:M20"/>
    <mergeCell ref="N20:O20"/>
    <mergeCell ref="L21:M21"/>
    <mergeCell ref="N21:O21"/>
    <mergeCell ref="I14:J18"/>
    <mergeCell ref="L14:M14"/>
    <mergeCell ref="N14:O14"/>
    <mergeCell ref="L15:M15"/>
    <mergeCell ref="N15:O15"/>
    <mergeCell ref="K17:K18"/>
    <mergeCell ref="L17:M18"/>
    <mergeCell ref="N17:O18"/>
    <mergeCell ref="I13:J13"/>
    <mergeCell ref="I11:J12"/>
    <mergeCell ref="K11:K12"/>
    <mergeCell ref="L11:M11"/>
    <mergeCell ref="N11:N12"/>
    <mergeCell ref="O11:O12"/>
    <mergeCell ref="L12:M12"/>
    <mergeCell ref="L16:M16"/>
    <mergeCell ref="N16:O16"/>
    <mergeCell ref="Q11:R11"/>
    <mergeCell ref="I10:J10"/>
    <mergeCell ref="K10:O10"/>
    <mergeCell ref="B5:C5"/>
    <mergeCell ref="A1:G1"/>
    <mergeCell ref="I1:O1"/>
    <mergeCell ref="A2:G2"/>
    <mergeCell ref="I2:O2"/>
    <mergeCell ref="B3:C3"/>
    <mergeCell ref="D3:G3"/>
    <mergeCell ref="I3:J9"/>
    <mergeCell ref="K3:M3"/>
    <mergeCell ref="B4:C4"/>
    <mergeCell ref="K4:M4"/>
    <mergeCell ref="K5:K9"/>
    <mergeCell ref="B6:C6"/>
    <mergeCell ref="A7:B7"/>
    <mergeCell ref="Q3:Q6"/>
    <mergeCell ref="Q7:Q9"/>
    <mergeCell ref="R7:S7"/>
  </mergeCells>
  <dataValidations count="1">
    <dataValidation type="list" allowBlank="1" showInputMessage="1" showErrorMessage="1" sqref="S24" xr:uid="{14936763-A6C1-4537-8E2E-00D5D752486C}">
      <formula1>"Sucre,DMS,LMS,Eau"</formula1>
    </dataValidation>
  </dataValidations>
  <hyperlinks>
    <hyperlink ref="Q12" r:id="rId1" xr:uid="{04F93EFA-6C45-4188-A583-1F48205A961C}"/>
    <hyperlink ref="Q13" r:id="rId2" xr:uid="{05B2018E-03CE-4F60-B62E-6AF36546AB00}"/>
  </hyperlinks>
  <pageMargins left="0.7" right="0.7" top="0.75" bottom="0.75" header="0.3" footer="0.3"/>
  <drawing r:id="rId3"/>
  <extLst>
    <ext xmlns:x14="http://schemas.microsoft.com/office/spreadsheetml/2009/9/main" uri="{CCE6A557-97BC-4b89-ADB6-D9C93CAAB3DF}">
      <x14:dataValidations xmlns:xm="http://schemas.microsoft.com/office/excel/2006/main" count="7">
        <x14:dataValidation type="list" allowBlank="1" showInputMessage="1" showErrorMessage="1" xr:uid="{A1D77004-C3F1-4142-8144-23584D454142}">
          <x14:formula1>
            <xm:f>INGREDIENTS!$AF$6:$AF$33</xm:f>
          </x14:formula1>
          <xm:sqref>B47:B50</xm:sqref>
        </x14:dataValidation>
        <x14:dataValidation type="list" allowBlank="1" showInputMessage="1" showErrorMessage="1" xr:uid="{0D51832F-811D-47BF-A4FF-3AF172510825}">
          <x14:formula1>
            <xm:f>INGREDIENTS!$R$6:$R$151</xm:f>
          </x14:formula1>
          <xm:sqref>B28:B43</xm:sqref>
        </x14:dataValidation>
        <x14:dataValidation type="list" allowBlank="1" showInputMessage="1" showErrorMessage="1" xr:uid="{12B25D52-9888-4CC9-9167-39F3946D9133}">
          <x14:formula1>
            <xm:f>INGREDIENTS!$BD$8:$BD$182</xm:f>
          </x14:formula1>
          <xm:sqref>R7</xm:sqref>
        </x14:dataValidation>
        <x14:dataValidation type="list" allowBlank="1" showInputMessage="1" showErrorMessage="1" xr:uid="{053950B1-EA01-4AF4-B933-E4FC1D5928BE}">
          <x14:formula1>
            <xm:f>INGREDIENTS!$AA$6:$AA$14</xm:f>
          </x14:formula1>
          <xm:sqref>D28:D43</xm:sqref>
        </x14:dataValidation>
        <x14:dataValidation type="list" allowBlank="1" showInputMessage="1" showErrorMessage="1" xr:uid="{E152D820-252B-47A4-AAB8-268DB6E51606}">
          <x14:formula1>
            <xm:f>INGREDIENTS!$I$6:$I$23</xm:f>
          </x14:formula1>
          <xm:sqref>B17</xm:sqref>
        </x14:dataValidation>
        <x14:dataValidation type="list" allowBlank="1" showInputMessage="1" showErrorMessage="1" xr:uid="{D5914336-037A-497E-982A-D64FCBDF1639}">
          <x14:formula1>
            <xm:f>INGREDIENTS!$AV$6:$AV$27</xm:f>
          </x14:formula1>
          <xm:sqref>B23:C25</xm:sqref>
        </x14:dataValidation>
        <x14:dataValidation type="list" allowBlank="1" showInputMessage="1" showErrorMessage="1" xr:uid="{D60E2D62-A093-4958-AC67-FDBC7DA02948}">
          <x14:formula1>
            <xm:f>INGREDIENTS!$A$6:$A$121</xm:f>
          </x14:formula1>
          <xm:sqref>B10:B16</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A5F429-C0E6-49B6-8D5F-08E730F052FD}">
  <dimension ref="A1:X75"/>
  <sheetViews>
    <sheetView zoomScale="90" zoomScaleNormal="90" workbookViewId="0">
      <selection activeCell="Q2" sqref="Q2"/>
    </sheetView>
  </sheetViews>
  <sheetFormatPr baseColWidth="10" defaultColWidth="8.7109375" defaultRowHeight="15"/>
  <cols>
    <col min="1" max="1" width="10.5703125" bestFit="1" customWidth="1"/>
    <col min="2" max="2" width="18" bestFit="1" customWidth="1"/>
    <col min="3" max="3" width="9" bestFit="1" customWidth="1"/>
    <col min="5" max="5" width="9.5703125" bestFit="1" customWidth="1"/>
    <col min="7" max="7" width="10.140625" bestFit="1" customWidth="1"/>
    <col min="8" max="8" width="2.85546875" customWidth="1"/>
    <col min="9" max="9" width="11.42578125" customWidth="1"/>
    <col min="11" max="11" width="16.42578125" customWidth="1"/>
    <col min="12" max="12" width="9.5703125" customWidth="1"/>
    <col min="14" max="14" width="10.140625" bestFit="1" customWidth="1"/>
    <col min="17" max="17" width="10.7109375" customWidth="1"/>
    <col min="18" max="18" width="10.42578125" bestFit="1" customWidth="1"/>
    <col min="19" max="19" width="12.85546875" bestFit="1" customWidth="1"/>
    <col min="22" max="22" width="11.42578125" bestFit="1" customWidth="1"/>
    <col min="23" max="23" width="9.5703125" customWidth="1"/>
  </cols>
  <sheetData>
    <row r="1" spans="1:24" ht="30.75" thickBot="1">
      <c r="A1" s="758" t="s">
        <v>810</v>
      </c>
      <c r="B1" s="759"/>
      <c r="C1" s="759"/>
      <c r="D1" s="759"/>
      <c r="E1" s="759"/>
      <c r="F1" s="759"/>
      <c r="G1" s="760"/>
      <c r="H1" s="200"/>
      <c r="I1" s="761" t="s">
        <v>665</v>
      </c>
      <c r="J1" s="762"/>
      <c r="K1" s="762"/>
      <c r="L1" s="762"/>
      <c r="M1" s="762"/>
      <c r="N1" s="762"/>
      <c r="O1" s="763"/>
    </row>
    <row r="2" spans="1:24" ht="73.5" customHeight="1" thickBot="1">
      <c r="A2" s="764" t="s">
        <v>811</v>
      </c>
      <c r="B2" s="764"/>
      <c r="C2" s="764"/>
      <c r="D2" s="764"/>
      <c r="E2" s="764"/>
      <c r="F2" s="764"/>
      <c r="G2" s="764"/>
      <c r="H2" s="201"/>
      <c r="I2" s="987" t="s">
        <v>812</v>
      </c>
      <c r="J2" s="988"/>
      <c r="K2" s="988"/>
      <c r="L2" s="988"/>
      <c r="M2" s="988"/>
      <c r="N2" s="988"/>
      <c r="O2" s="988"/>
    </row>
    <row r="3" spans="1:24" ht="14.45" customHeight="1">
      <c r="A3" s="142" t="s">
        <v>601</v>
      </c>
      <c r="B3" s="767" t="s">
        <v>663</v>
      </c>
      <c r="C3" s="768"/>
      <c r="D3" s="769" t="s">
        <v>602</v>
      </c>
      <c r="E3" s="770"/>
      <c r="F3" s="770"/>
      <c r="G3" s="771"/>
      <c r="H3" s="15"/>
      <c r="I3" s="772" t="s">
        <v>1856</v>
      </c>
      <c r="J3" s="773"/>
      <c r="K3" s="778" t="s">
        <v>616</v>
      </c>
      <c r="L3" s="779"/>
      <c r="M3" s="780"/>
      <c r="N3" s="172">
        <v>20</v>
      </c>
      <c r="O3" s="173">
        <v>75.840814005243004</v>
      </c>
      <c r="Q3" s="744" t="s">
        <v>624</v>
      </c>
      <c r="R3" s="47" t="s">
        <v>871</v>
      </c>
      <c r="S3" s="47" t="s">
        <v>873</v>
      </c>
      <c r="T3" s="47" t="s">
        <v>875</v>
      </c>
      <c r="U3" s="47" t="s">
        <v>877</v>
      </c>
      <c r="V3" s="47" t="s">
        <v>879</v>
      </c>
      <c r="W3" s="47" t="s">
        <v>881</v>
      </c>
      <c r="X3" s="47" t="s">
        <v>23</v>
      </c>
    </row>
    <row r="4" spans="1:24" ht="14.45" customHeight="1">
      <c r="A4" s="143" t="s">
        <v>603</v>
      </c>
      <c r="B4" s="747">
        <v>20</v>
      </c>
      <c r="C4" s="748"/>
      <c r="D4" s="37" t="s">
        <v>604</v>
      </c>
      <c r="E4" s="134">
        <v>1.044</v>
      </c>
      <c r="F4" s="37" t="s">
        <v>612</v>
      </c>
      <c r="G4" s="144">
        <f>(76.08*(E4-E5)/(1.775-E4))*(E5/0.794)</f>
        <v>3.4693950180388513</v>
      </c>
      <c r="H4" s="202"/>
      <c r="I4" s="774"/>
      <c r="J4" s="775"/>
      <c r="K4" s="980" t="s">
        <v>619</v>
      </c>
      <c r="L4" s="981"/>
      <c r="M4" s="982"/>
      <c r="N4" s="213"/>
      <c r="O4" s="214"/>
      <c r="Q4" s="745"/>
      <c r="R4" s="307" t="s">
        <v>872</v>
      </c>
      <c r="S4" s="307" t="s">
        <v>874</v>
      </c>
      <c r="T4" s="307" t="s">
        <v>876</v>
      </c>
      <c r="U4" s="307" t="s">
        <v>878</v>
      </c>
      <c r="V4" s="307" t="s">
        <v>880</v>
      </c>
      <c r="W4" s="307" t="s">
        <v>882</v>
      </c>
      <c r="X4" s="47"/>
    </row>
    <row r="5" spans="1:24" ht="14.45" customHeight="1">
      <c r="A5" s="143" t="s">
        <v>605</v>
      </c>
      <c r="B5" s="749">
        <v>45660</v>
      </c>
      <c r="C5" s="750"/>
      <c r="D5" s="37" t="s">
        <v>606</v>
      </c>
      <c r="E5" s="134">
        <v>1.018</v>
      </c>
      <c r="F5" s="37" t="s">
        <v>614</v>
      </c>
      <c r="G5" s="258">
        <v>2.4</v>
      </c>
      <c r="H5" s="203"/>
      <c r="I5" s="774"/>
      <c r="J5" s="775"/>
      <c r="K5" s="751" t="s">
        <v>622</v>
      </c>
      <c r="L5" s="121" t="s">
        <v>609</v>
      </c>
      <c r="M5" s="36">
        <v>70</v>
      </c>
      <c r="N5" s="27">
        <v>60</v>
      </c>
      <c r="O5" s="174"/>
      <c r="Q5" s="745"/>
      <c r="R5" s="318">
        <v>56.9</v>
      </c>
      <c r="S5" s="318">
        <v>149.5</v>
      </c>
      <c r="T5" s="318">
        <v>115.9</v>
      </c>
      <c r="U5" s="318">
        <v>18.600000000000001</v>
      </c>
      <c r="V5" s="318">
        <v>41.5</v>
      </c>
      <c r="W5" s="318">
        <v>308.2</v>
      </c>
      <c r="X5" s="29">
        <v>7.3</v>
      </c>
    </row>
    <row r="6" spans="1:24" ht="14.45" customHeight="1">
      <c r="A6" s="143"/>
      <c r="B6" s="749"/>
      <c r="C6" s="750"/>
      <c r="D6" s="37" t="s">
        <v>608</v>
      </c>
      <c r="E6" s="135">
        <f>C20</f>
        <v>6.4273708579628481</v>
      </c>
      <c r="F6" s="37" t="s">
        <v>618</v>
      </c>
      <c r="G6" s="144">
        <f>E7/((E4-1)*1000)</f>
        <v>0.79645741730697095</v>
      </c>
      <c r="H6" s="202"/>
      <c r="I6" s="774"/>
      <c r="J6" s="775"/>
      <c r="K6" s="752"/>
      <c r="L6" s="121" t="s">
        <v>611</v>
      </c>
      <c r="M6" s="36" t="s">
        <v>623</v>
      </c>
      <c r="N6" s="27" t="s">
        <v>623</v>
      </c>
      <c r="O6" s="174"/>
      <c r="Q6" s="746"/>
      <c r="R6" s="308"/>
      <c r="S6" s="308"/>
      <c r="T6" s="308"/>
      <c r="U6" s="308"/>
      <c r="V6" s="308"/>
      <c r="W6" s="308"/>
      <c r="X6" s="308"/>
    </row>
    <row r="7" spans="1:24" ht="17.45" customHeight="1" thickBot="1">
      <c r="A7" s="754" t="s">
        <v>607</v>
      </c>
      <c r="B7" s="755"/>
      <c r="C7" s="206">
        <f>N17</f>
        <v>0</v>
      </c>
      <c r="D7" s="145" t="s">
        <v>610</v>
      </c>
      <c r="E7" s="215">
        <f>G44</f>
        <v>35.044126361506756</v>
      </c>
      <c r="F7" s="146" t="s">
        <v>621</v>
      </c>
      <c r="G7" s="147">
        <f>E7/(0.1808*(259-(259/E4))+(0.8192*(259-(259/E5))))</f>
        <v>6.1210928707769474</v>
      </c>
      <c r="H7" s="204"/>
      <c r="I7" s="774"/>
      <c r="J7" s="775"/>
      <c r="K7" s="752"/>
      <c r="L7" s="121" t="s">
        <v>613</v>
      </c>
      <c r="M7" s="36" t="s">
        <v>623</v>
      </c>
      <c r="N7" s="27" t="s">
        <v>623</v>
      </c>
      <c r="O7" s="174"/>
      <c r="Q7" s="756" t="s">
        <v>917</v>
      </c>
      <c r="R7" s="949" t="s">
        <v>1031</v>
      </c>
      <c r="S7" s="950"/>
      <c r="T7" s="950"/>
      <c r="U7" s="950"/>
      <c r="V7" s="950"/>
      <c r="W7" s="951"/>
      <c r="X7" s="321"/>
    </row>
    <row r="8" spans="1:24" ht="18" thickBot="1">
      <c r="A8" s="15"/>
      <c r="B8" s="140"/>
      <c r="C8" s="141"/>
      <c r="F8" s="136"/>
      <c r="G8" s="136"/>
      <c r="H8" s="136"/>
      <c r="I8" s="774"/>
      <c r="J8" s="775"/>
      <c r="K8" s="752"/>
      <c r="L8" s="121" t="s">
        <v>617</v>
      </c>
      <c r="M8" s="36">
        <v>78</v>
      </c>
      <c r="N8" s="27">
        <v>10</v>
      </c>
      <c r="O8" s="174"/>
      <c r="Q8" s="757"/>
      <c r="R8" s="320">
        <f>VLOOKUP(R7,INGREDIENTS!$BD$8:$CA$185,2,FALSE)</f>
        <v>0</v>
      </c>
      <c r="S8" s="320">
        <f>VLOOKUP($R$7,INGREDIENTS!$BD$8:$CA$185,5,FALSE)</f>
        <v>100</v>
      </c>
      <c r="T8" s="320">
        <f>VLOOKUP($R$7,INGREDIENTS!$BD$8:$CA$185,8,FALSE)</f>
        <v>50</v>
      </c>
      <c r="U8" s="320">
        <f>VLOOKUP($R$7,INGREDIENTS!$BD$8:$CA$185,11,FALSE)</f>
        <v>0</v>
      </c>
      <c r="V8" s="320">
        <f>VLOOKUP($R$7,INGREDIENTS!$BD$8:$CA$185,14,FALSE)</f>
        <v>0</v>
      </c>
      <c r="W8" s="320">
        <f>VLOOKUP($R$7,INGREDIENTS!$BD$8:$CA$185,17,FALSE)</f>
        <v>0</v>
      </c>
      <c r="X8" s="322"/>
    </row>
    <row r="9" spans="1:24" ht="17.45" customHeight="1" thickBot="1">
      <c r="A9" s="781" t="s">
        <v>634</v>
      </c>
      <c r="B9" s="148" t="s">
        <v>1</v>
      </c>
      <c r="C9" s="148" t="s">
        <v>2</v>
      </c>
      <c r="D9" s="148" t="s">
        <v>632</v>
      </c>
      <c r="E9" s="148" t="s">
        <v>23</v>
      </c>
      <c r="F9" s="148" t="s">
        <v>633</v>
      </c>
      <c r="G9" s="149" t="s">
        <v>666</v>
      </c>
      <c r="H9" s="15"/>
      <c r="I9" s="776"/>
      <c r="J9" s="777"/>
      <c r="K9" s="753"/>
      <c r="L9" s="175" t="s">
        <v>620</v>
      </c>
      <c r="M9" s="176">
        <v>70</v>
      </c>
      <c r="N9" s="177">
        <f>SUM(N5:N7)</f>
        <v>60</v>
      </c>
      <c r="O9" s="178"/>
      <c r="Q9" s="757"/>
      <c r="R9" s="320">
        <f>VLOOKUP(R7,INGREDIENTS!$BD$8:$CA$185,3,FALSE)</f>
        <v>100</v>
      </c>
      <c r="S9" s="320">
        <f>VLOOKUP($R$7,INGREDIENTS!$BD$8:$CA$185,6,FALSE)</f>
        <v>300</v>
      </c>
      <c r="T9" s="320">
        <f>VLOOKUP($R$7,INGREDIENTS!$BD$8:$CA$185,9,FALSE)</f>
        <v>150</v>
      </c>
      <c r="U9" s="320">
        <f>VLOOKUP($R$7,INGREDIENTS!$BD$8:$CA$185,12,FALSE)</f>
        <v>20</v>
      </c>
      <c r="V9" s="320">
        <f>VLOOKUP($R$7,INGREDIENTS!$BD$8:$CA$185,15,FALSE)</f>
        <v>100</v>
      </c>
      <c r="W9" s="320">
        <f>VLOOKUP($R$7,INGREDIENTS!$BD$8:$CA$185,18,FALSE)</f>
        <v>150</v>
      </c>
      <c r="X9" s="308"/>
    </row>
    <row r="10" spans="1:24" ht="15" customHeight="1" thickBot="1">
      <c r="A10" s="782"/>
      <c r="B10" s="32" t="s">
        <v>2594</v>
      </c>
      <c r="C10" s="237">
        <f>IFERROR(VLOOKUP(B10,INGREDIENTS!$A$6:$E$121,3,FALSE),"")</f>
        <v>5</v>
      </c>
      <c r="D10" s="34">
        <f>IFERROR(VLOOKUP(B10,INGREDIENTS!$A$6:$E$121,2,FALSE),"")</f>
        <v>0.81</v>
      </c>
      <c r="E10" s="35">
        <f>IFERROR(VLOOKUP(B10,INGREDIENTS!$A$6:$E$121,5,FALSE),"")</f>
        <v>5.77</v>
      </c>
      <c r="F10" s="26">
        <v>2400</v>
      </c>
      <c r="G10" s="150">
        <f>F10/$F$20</f>
        <v>0.65753424657534243</v>
      </c>
      <c r="H10" s="25"/>
      <c r="I10" s="801" t="s">
        <v>714</v>
      </c>
      <c r="J10" s="801"/>
      <c r="K10" s="801"/>
      <c r="L10" s="801"/>
      <c r="M10" s="801"/>
      <c r="N10" s="801"/>
      <c r="O10" s="801"/>
    </row>
    <row r="11" spans="1:24" ht="43.5" customHeight="1">
      <c r="A11" s="782"/>
      <c r="B11" s="32" t="s">
        <v>26</v>
      </c>
      <c r="C11" s="237">
        <f>IFERROR(VLOOKUP(B11,INGREDIENTS!$A$6:$E$121,3,FALSE),"")</f>
        <v>5</v>
      </c>
      <c r="D11" s="34">
        <f>IFERROR(VLOOKUP(B11,INGREDIENTS!$A$6:$E$121,2,FALSE),"")</f>
        <v>0.7</v>
      </c>
      <c r="E11" s="35">
        <f>IFERROR(VLOOKUP(B11,INGREDIENTS!$A$6:$E$121,5,FALSE),"")</f>
        <v>5.2</v>
      </c>
      <c r="F11" s="26">
        <v>500</v>
      </c>
      <c r="G11" s="150">
        <f t="shared" ref="G11:G18" si="0">F11/$F$20</f>
        <v>0.13698630136986301</v>
      </c>
      <c r="H11" s="25"/>
      <c r="I11" s="786" t="s">
        <v>626</v>
      </c>
      <c r="J11" s="787"/>
      <c r="K11" s="790" t="s">
        <v>627</v>
      </c>
      <c r="L11" s="792">
        <v>14</v>
      </c>
      <c r="M11" s="793"/>
      <c r="N11" s="794"/>
      <c r="O11" s="796"/>
      <c r="Q11" s="798" t="s">
        <v>682</v>
      </c>
      <c r="R11" s="798"/>
    </row>
    <row r="12" spans="1:24" ht="15" customHeight="1" thickBot="1">
      <c r="A12" s="782"/>
      <c r="B12" s="32" t="s">
        <v>2013</v>
      </c>
      <c r="C12" s="237">
        <f>IFERROR(VLOOKUP(B12,INGREDIENTS!$A$6:$E$121,3,FALSE),"")</f>
        <v>5</v>
      </c>
      <c r="D12" s="34">
        <f>IFERROR(VLOOKUP(B12,INGREDIENTS!$A$6:$E$121,2,FALSE),"")</f>
        <v>0.75</v>
      </c>
      <c r="E12" s="35">
        <f>IFERROR(VLOOKUP(B12,INGREDIENTS!$A$6:$E$121,5,FALSE),"")</f>
        <v>5.8</v>
      </c>
      <c r="F12" s="26">
        <v>500</v>
      </c>
      <c r="G12" s="150">
        <f t="shared" si="0"/>
        <v>0.13698630136986301</v>
      </c>
      <c r="H12" s="25"/>
      <c r="I12" s="788"/>
      <c r="J12" s="789"/>
      <c r="K12" s="791"/>
      <c r="L12" s="799">
        <v>78</v>
      </c>
      <c r="M12" s="800"/>
      <c r="N12" s="795"/>
      <c r="O12" s="797"/>
      <c r="Q12" s="304" t="s">
        <v>870</v>
      </c>
    </row>
    <row r="13" spans="1:24" ht="14.45" customHeight="1" thickBot="1">
      <c r="A13" s="782"/>
      <c r="B13" s="32" t="s">
        <v>813</v>
      </c>
      <c r="C13" s="237">
        <f>IFERROR(VLOOKUP(B13,INGREDIENTS!$A$6:$E$121,3,FALSE),"")</f>
        <v>3</v>
      </c>
      <c r="D13" s="34">
        <f>IFERROR(VLOOKUP(B13,INGREDIENTS!$A$6:$E$121,2,FALSE),"")</f>
        <v>0.65</v>
      </c>
      <c r="E13" s="35">
        <f>IFERROR(VLOOKUP(B13,INGREDIENTS!$A$6:$E$121,5,FALSE),"")</f>
        <v>6</v>
      </c>
      <c r="F13" s="26">
        <v>250</v>
      </c>
      <c r="G13" s="150">
        <f t="shared" si="0"/>
        <v>6.8493150684931503E-2</v>
      </c>
      <c r="H13" s="25"/>
      <c r="I13" s="801" t="s">
        <v>714</v>
      </c>
      <c r="J13" s="801"/>
      <c r="K13" s="30"/>
      <c r="L13" s="30"/>
      <c r="M13" s="31"/>
      <c r="N13" s="31"/>
      <c r="O13" s="28"/>
      <c r="Q13" s="304" t="s">
        <v>908</v>
      </c>
    </row>
    <row r="14" spans="1:24" ht="14.45" customHeight="1">
      <c r="A14" s="782"/>
      <c r="B14" s="32"/>
      <c r="C14" s="237" t="str">
        <f>IFERROR(VLOOKUP(B14,INGREDIENTS!$A$6:$E$121,3,FALSE),"")</f>
        <v/>
      </c>
      <c r="D14" s="34" t="str">
        <f>IFERROR(VLOOKUP(B14,INGREDIENTS!$A$6:$E$121,2,FALSE),"")</f>
        <v/>
      </c>
      <c r="E14" s="35" t="str">
        <f>IFERROR(VLOOKUP(B14,INGREDIENTS!$A$6:$E$121,5,FALSE),"")</f>
        <v/>
      </c>
      <c r="F14" s="26"/>
      <c r="G14" s="150">
        <f t="shared" si="0"/>
        <v>0</v>
      </c>
      <c r="H14" s="25"/>
      <c r="I14" s="802" t="s">
        <v>628</v>
      </c>
      <c r="J14" s="803"/>
      <c r="K14" s="205"/>
      <c r="L14" s="808" t="s">
        <v>737</v>
      </c>
      <c r="M14" s="809"/>
      <c r="N14" s="808" t="s">
        <v>630</v>
      </c>
      <c r="O14" s="810"/>
    </row>
    <row r="15" spans="1:24" ht="17.100000000000001" customHeight="1">
      <c r="A15" s="782"/>
      <c r="B15" s="32"/>
      <c r="C15" s="237" t="str">
        <f>IFERROR(VLOOKUP(B15,INGREDIENTS!$A$6:$E$121,3,FALSE),"")</f>
        <v/>
      </c>
      <c r="D15" s="34" t="str">
        <f>IFERROR(VLOOKUP(B15,INGREDIENTS!$A$6:$E$121,2,FALSE),"")</f>
        <v/>
      </c>
      <c r="E15" s="35" t="str">
        <f>IFERROR(VLOOKUP(B15,INGREDIENTS!$A$6:$E$121,5,FALSE),"")</f>
        <v/>
      </c>
      <c r="F15" s="26"/>
      <c r="G15" s="150">
        <f t="shared" si="0"/>
        <v>0</v>
      </c>
      <c r="H15" s="25"/>
      <c r="I15" s="804"/>
      <c r="J15" s="805"/>
      <c r="K15" s="38" t="s">
        <v>631</v>
      </c>
      <c r="L15" s="811">
        <v>1.044</v>
      </c>
      <c r="M15" s="812"/>
      <c r="N15" s="813"/>
      <c r="O15" s="814"/>
    </row>
    <row r="16" spans="1:24" ht="17.100000000000001" customHeight="1" thickBot="1">
      <c r="A16" s="783"/>
      <c r="B16" s="32"/>
      <c r="C16" s="237" t="str">
        <f>IFERROR(VLOOKUP(B16,INGREDIENTS!$A$6:$E$121,3,FALSE),"")</f>
        <v/>
      </c>
      <c r="D16" s="34" t="str">
        <f>IFERROR(VLOOKUP(B16,INGREDIENTS!$A$6:$E$121,2,FALSE),"")</f>
        <v/>
      </c>
      <c r="E16" s="35" t="str">
        <f>IFERROR(VLOOKUP(B16,INGREDIENTS!$A$6:$E$121,5,FALSE),"")</f>
        <v/>
      </c>
      <c r="F16" s="43"/>
      <c r="G16" s="150">
        <f t="shared" si="0"/>
        <v>0</v>
      </c>
      <c r="H16" s="25"/>
      <c r="I16" s="804"/>
      <c r="J16" s="805"/>
      <c r="K16" s="38" t="s">
        <v>603</v>
      </c>
      <c r="L16" s="815">
        <v>27</v>
      </c>
      <c r="M16" s="816"/>
      <c r="N16" s="817"/>
      <c r="O16" s="818"/>
    </row>
    <row r="17" spans="1:24" ht="17.100000000000001" customHeight="1" thickTop="1" thickBot="1">
      <c r="A17" s="832" t="s">
        <v>637</v>
      </c>
      <c r="B17" s="116"/>
      <c r="C17" s="238" t="str">
        <f>IFERROR(VLOOKUP(B17,INGREDIENTS!$I$6:$L$24,3,FALSE),"")</f>
        <v/>
      </c>
      <c r="D17" s="241" t="str">
        <f>IFERROR(VLOOKUP(B17,INGREDIENTS!$I$6:$L$24,2,FALSE),"")</f>
        <v/>
      </c>
      <c r="E17" s="117" t="str">
        <f>IFERROR(VLOOKUP(B17,INGREDIENTS!$I$6:$L$24,5,FALSE),"")</f>
        <v/>
      </c>
      <c r="F17" s="118"/>
      <c r="G17" s="150">
        <f t="shared" si="0"/>
        <v>0</v>
      </c>
      <c r="H17" s="25"/>
      <c r="I17" s="804"/>
      <c r="J17" s="805"/>
      <c r="K17" s="834" t="s">
        <v>607</v>
      </c>
      <c r="L17" s="836">
        <f>(2.57452*(L15-1)*L16*1000)/(F20*D20)</f>
        <v>1.0801800317852739</v>
      </c>
      <c r="M17" s="837"/>
      <c r="N17" s="840">
        <f>(2.57452*(N15-1)*N16*1000)/(F20*D20)</f>
        <v>0</v>
      </c>
      <c r="O17" s="841"/>
    </row>
    <row r="18" spans="1:24" ht="17.100000000000001" customHeight="1" thickTop="1" thickBot="1">
      <c r="A18" s="833"/>
      <c r="B18" s="116"/>
      <c r="C18" s="238" t="str">
        <f>IFERROR(VLOOKUP(B18,INGREDIENTS!$I$6:$L$24,3,FALSE),"")</f>
        <v/>
      </c>
      <c r="D18" s="241" t="str">
        <f>IFERROR(VLOOKUP(B18,INGREDIENTS!$I$6:$L$24,2,FALSE),"")</f>
        <v/>
      </c>
      <c r="E18" s="117" t="str">
        <f>IFERROR(VLOOKUP(B18,INGREDIENTS!$I$6:$L$24,5,FALSE),"")</f>
        <v/>
      </c>
      <c r="F18" s="118"/>
      <c r="G18" s="150">
        <f t="shared" si="0"/>
        <v>0</v>
      </c>
      <c r="H18" s="25"/>
      <c r="I18" s="806"/>
      <c r="J18" s="807"/>
      <c r="K18" s="835"/>
      <c r="L18" s="838"/>
      <c r="M18" s="839"/>
      <c r="N18" s="842"/>
      <c r="O18" s="843"/>
    </row>
    <row r="19" spans="1:24" ht="17.100000000000001" customHeight="1" thickBot="1">
      <c r="A19" s="167" t="s">
        <v>639</v>
      </c>
      <c r="B19" s="168" t="s">
        <v>640</v>
      </c>
      <c r="C19" s="216">
        <f>2.9396*((4.23*SUMPRODUCT(C10:C16,F10:F16)/1000)/L22)^0.6859</f>
        <v>6.4273708579628481</v>
      </c>
      <c r="D19" s="169">
        <f>SUMPRODUCT(D10:D16,G10:G16)</f>
        <v>0.77575342465753427</v>
      </c>
      <c r="E19" s="300">
        <f>SUMPRODUCT(E10:E16,F10:F16)/$F$19</f>
        <v>5.7117808219178086</v>
      </c>
      <c r="F19" s="170">
        <f>SUM(F10:F16)</f>
        <v>3650</v>
      </c>
      <c r="G19" s="171">
        <f>SUM(G10:G16)</f>
        <v>1</v>
      </c>
      <c r="H19" s="197"/>
      <c r="I19" s="801" t="s">
        <v>714</v>
      </c>
      <c r="J19" s="801"/>
      <c r="K19" s="28"/>
      <c r="L19" s="28"/>
      <c r="M19" s="28"/>
      <c r="N19" s="28"/>
      <c r="O19" s="28"/>
    </row>
    <row r="20" spans="1:24" ht="17.45" customHeight="1" thickBot="1">
      <c r="A20" s="151" t="s">
        <v>639</v>
      </c>
      <c r="B20" s="152" t="s">
        <v>641</v>
      </c>
      <c r="C20" s="153">
        <f>2.9396*((4.23*SUMPRODUCT(C10:C18,F10:F18)/1000)/L22)^0.6859</f>
        <v>6.4273708579628481</v>
      </c>
      <c r="D20" s="154">
        <f>SUMPRODUCT(D10:D18,G10:G18)</f>
        <v>0.77575342465753427</v>
      </c>
      <c r="E20" s="301">
        <f>SUMPRODUCT(E10:E18,F10:F18)/$F$20</f>
        <v>5.7117808219178086</v>
      </c>
      <c r="F20" s="155">
        <f>SUM(F10:F18)</f>
        <v>3650</v>
      </c>
      <c r="G20" s="156">
        <f>SUM(G10:G18)</f>
        <v>1</v>
      </c>
      <c r="H20" s="197"/>
      <c r="I20" s="844" t="s">
        <v>736</v>
      </c>
      <c r="J20" s="845"/>
      <c r="K20" s="181"/>
      <c r="L20" s="850" t="s">
        <v>737</v>
      </c>
      <c r="M20" s="851"/>
      <c r="N20" s="850" t="s">
        <v>630</v>
      </c>
      <c r="O20" s="852"/>
      <c r="Q20" s="819" t="s">
        <v>675</v>
      </c>
      <c r="R20" s="820"/>
      <c r="S20" s="821"/>
      <c r="U20" s="822" t="s">
        <v>912</v>
      </c>
      <c r="V20" s="823"/>
      <c r="W20" s="824"/>
    </row>
    <row r="21" spans="1:24" ht="18" customHeight="1" thickBot="1">
      <c r="I21" s="846"/>
      <c r="J21" s="847"/>
      <c r="K21" s="39" t="s">
        <v>631</v>
      </c>
      <c r="L21" s="825">
        <v>1.044</v>
      </c>
      <c r="M21" s="826"/>
      <c r="N21" s="827"/>
      <c r="O21" s="828"/>
      <c r="Q21" s="829" t="s">
        <v>676</v>
      </c>
      <c r="R21" s="830"/>
      <c r="S21" s="104"/>
      <c r="U21" s="831" t="s">
        <v>916</v>
      </c>
      <c r="V21" s="831"/>
      <c r="W21" s="315">
        <f>E19</f>
        <v>5.7117808219178086</v>
      </c>
    </row>
    <row r="22" spans="1:24" ht="15.6" customHeight="1">
      <c r="A22" s="853" t="s">
        <v>643</v>
      </c>
      <c r="B22" s="856" t="s">
        <v>1</v>
      </c>
      <c r="C22" s="857"/>
      <c r="D22" s="856" t="s">
        <v>588</v>
      </c>
      <c r="E22" s="878"/>
      <c r="F22" s="857"/>
      <c r="G22" s="347" t="s">
        <v>644</v>
      </c>
      <c r="H22" s="15"/>
      <c r="I22" s="846"/>
      <c r="J22" s="847"/>
      <c r="K22" s="40" t="s">
        <v>603</v>
      </c>
      <c r="L22" s="872">
        <v>24</v>
      </c>
      <c r="M22" s="873"/>
      <c r="N22" s="874"/>
      <c r="O22" s="875"/>
      <c r="Q22" s="829" t="s">
        <v>677</v>
      </c>
      <c r="R22" s="830"/>
      <c r="S22" s="115"/>
      <c r="U22" s="831" t="s">
        <v>913</v>
      </c>
      <c r="V22" s="831"/>
      <c r="W22" s="315">
        <v>5.8</v>
      </c>
    </row>
    <row r="23" spans="1:24" ht="14.45" customHeight="1">
      <c r="A23" s="854"/>
      <c r="B23" s="858"/>
      <c r="C23" s="859"/>
      <c r="D23" s="879"/>
      <c r="E23" s="880"/>
      <c r="F23" s="881"/>
      <c r="G23" s="348"/>
      <c r="H23" s="28"/>
      <c r="I23" s="846"/>
      <c r="J23" s="847"/>
      <c r="K23" s="243" t="s">
        <v>635</v>
      </c>
      <c r="L23" s="876">
        <f>(L16-L22)*100/L16</f>
        <v>11.111111111111111</v>
      </c>
      <c r="M23" s="877"/>
      <c r="N23" s="876" t="e">
        <f>(N16-N22)*100/N16</f>
        <v>#DIV/0!</v>
      </c>
      <c r="O23" s="877"/>
      <c r="Q23" s="829" t="s">
        <v>678</v>
      </c>
      <c r="R23" s="830"/>
      <c r="S23" s="104"/>
      <c r="U23" s="860" t="s">
        <v>869</v>
      </c>
      <c r="V23" s="861"/>
      <c r="W23" s="315">
        <v>5.4</v>
      </c>
      <c r="X23" s="227" t="s">
        <v>867</v>
      </c>
    </row>
    <row r="24" spans="1:24" ht="14.45" customHeight="1" thickBot="1">
      <c r="A24" s="854"/>
      <c r="B24" s="858"/>
      <c r="C24" s="859"/>
      <c r="D24" s="858"/>
      <c r="E24" s="938"/>
      <c r="F24" s="938"/>
      <c r="G24" s="348"/>
      <c r="H24" s="28"/>
      <c r="I24" s="846"/>
      <c r="J24" s="847"/>
      <c r="K24" s="209" t="s">
        <v>636</v>
      </c>
      <c r="L24" s="210"/>
      <c r="M24" s="210"/>
      <c r="N24" s="211"/>
      <c r="O24" s="182">
        <f>((N15-1)*1000)*N16*2.57452-((N21-1)*1000)*N22*2.57452</f>
        <v>0</v>
      </c>
      <c r="Q24" s="829" t="s">
        <v>679</v>
      </c>
      <c r="R24" s="830"/>
      <c r="S24" s="50" t="s">
        <v>680</v>
      </c>
      <c r="U24" s="860" t="s">
        <v>915</v>
      </c>
      <c r="V24" s="861"/>
      <c r="W24" s="316">
        <v>20</v>
      </c>
      <c r="X24" s="227" t="s">
        <v>868</v>
      </c>
    </row>
    <row r="25" spans="1:24" ht="14.45" customHeight="1" thickBot="1">
      <c r="A25" s="855"/>
      <c r="B25" s="862"/>
      <c r="C25" s="863"/>
      <c r="D25" s="862"/>
      <c r="E25" s="939"/>
      <c r="F25" s="939"/>
      <c r="G25" s="349"/>
      <c r="H25" s="28"/>
      <c r="I25" s="846"/>
      <c r="J25" s="847"/>
      <c r="K25" s="40" t="s">
        <v>718</v>
      </c>
      <c r="L25" s="864">
        <v>10</v>
      </c>
      <c r="M25" s="865"/>
      <c r="N25" s="866">
        <v>80</v>
      </c>
      <c r="O25" s="867"/>
      <c r="Q25" s="829" t="s">
        <v>681</v>
      </c>
      <c r="R25" s="830"/>
      <c r="S25" s="131">
        <f>IF(S24="","",IF(S24="Sucre",(S23-S21)*1000*2.57452,IF(S24="DMS",(S23-S21)*1000*2.66,IF(S24="LMS",(S23-S21)*1000*3.24,IF(S24="Eau",1000*((S21-1)/(S23-1)*S22-S22)/S22)))))</f>
        <v>0</v>
      </c>
      <c r="U25" s="868" t="s">
        <v>914</v>
      </c>
      <c r="V25" s="869"/>
      <c r="W25" s="882">
        <v>0.8</v>
      </c>
    </row>
    <row r="26" spans="1:24" ht="14.45" customHeight="1" thickBot="1">
      <c r="I26" s="846"/>
      <c r="J26" s="847"/>
      <c r="K26" s="40" t="s">
        <v>716</v>
      </c>
      <c r="L26" s="864">
        <v>2</v>
      </c>
      <c r="M26" s="865"/>
      <c r="N26" s="866">
        <v>80</v>
      </c>
      <c r="O26" s="867"/>
      <c r="Q26" s="829" t="s">
        <v>681</v>
      </c>
      <c r="R26" s="830"/>
      <c r="S26" s="130">
        <f>S25*S22</f>
        <v>0</v>
      </c>
      <c r="U26" s="870"/>
      <c r="V26" s="871"/>
      <c r="W26" s="883"/>
    </row>
    <row r="27" spans="1:24" ht="30">
      <c r="A27" s="884" t="s">
        <v>649</v>
      </c>
      <c r="B27" s="157" t="s">
        <v>1</v>
      </c>
      <c r="C27" s="259" t="s">
        <v>650</v>
      </c>
      <c r="D27" s="157" t="s">
        <v>588</v>
      </c>
      <c r="E27" s="157" t="s">
        <v>647</v>
      </c>
      <c r="F27" s="157" t="s">
        <v>633</v>
      </c>
      <c r="G27" s="158" t="s">
        <v>651</v>
      </c>
      <c r="H27" s="15"/>
      <c r="I27" s="846"/>
      <c r="J27" s="847"/>
      <c r="K27" s="40" t="s">
        <v>717</v>
      </c>
      <c r="L27" s="864">
        <v>30</v>
      </c>
      <c r="M27" s="865"/>
      <c r="N27" s="866">
        <v>80</v>
      </c>
      <c r="O27" s="867"/>
      <c r="U27" s="860" t="s">
        <v>644</v>
      </c>
      <c r="V27" s="861"/>
      <c r="W27" s="317">
        <f>((POWER(10,-W23)-POWER(10,-W22))*W24)/(W25/100)/(1.206/1000)</f>
        <v>4.9672025561232473</v>
      </c>
    </row>
    <row r="28" spans="1:24" ht="14.45" customHeight="1" thickBot="1">
      <c r="A28" s="885"/>
      <c r="B28" s="137" t="s">
        <v>165</v>
      </c>
      <c r="C28" s="294">
        <f>IFERROR(VLOOKUP(B28,INGREDIENTS!$R$5:$U$150,4,FALSE), "")</f>
        <v>0.123</v>
      </c>
      <c r="D28" s="137" t="s">
        <v>2570</v>
      </c>
      <c r="E28" s="138">
        <v>30</v>
      </c>
      <c r="F28" s="139">
        <v>40</v>
      </c>
      <c r="G28" s="159">
        <f>IFERROR((VLOOKUP(D28,INGREDIENTS!$AA$6:$AB$14,2,FALSE))*((1.65*(0.000125^($L$31-1))*((1-EXP(-0.04*E28))/4.15))*C28*F28*1000)/($L$32),"")</f>
        <v>14.225833473482941</v>
      </c>
      <c r="H28" s="198"/>
      <c r="I28" s="848"/>
      <c r="J28" s="849"/>
      <c r="K28" s="217" t="s">
        <v>718</v>
      </c>
      <c r="L28" s="887">
        <v>35</v>
      </c>
      <c r="M28" s="888"/>
      <c r="N28" s="889">
        <v>20</v>
      </c>
      <c r="O28" s="890"/>
    </row>
    <row r="29" spans="1:24" ht="14.45" customHeight="1" thickBot="1">
      <c r="A29" s="885"/>
      <c r="B29" s="137" t="s">
        <v>193</v>
      </c>
      <c r="C29" s="294">
        <f>IFERROR(VLOOKUP(B29,INGREDIENTS!$R$5:$U$150,4,FALSE), "")</f>
        <v>0.13</v>
      </c>
      <c r="D29" s="137" t="s">
        <v>2570</v>
      </c>
      <c r="E29" s="138">
        <v>30</v>
      </c>
      <c r="F29" s="139">
        <v>40</v>
      </c>
      <c r="G29" s="159">
        <f>IFERROR((VLOOKUP(D29,INGREDIENTS!$AA$6:$AB$14,2,FALSE))*((1.65*(0.000125^($L$31-1))*((1-EXP(-0.04*E29))/4.15))*C29*F29*1000)/($L$32),"")</f>
        <v>15.035433752461644</v>
      </c>
      <c r="H29" s="198"/>
      <c r="I29" s="242" t="s">
        <v>714</v>
      </c>
      <c r="J29" s="218"/>
    </row>
    <row r="30" spans="1:24" ht="15" customHeight="1">
      <c r="A30" s="885"/>
      <c r="B30" s="137" t="s">
        <v>86</v>
      </c>
      <c r="C30" s="294">
        <f>IFERROR(VLOOKUP(B30,INGREDIENTS!$R$5:$U$150,4,FALSE), "")</f>
        <v>0.1</v>
      </c>
      <c r="D30" s="137" t="s">
        <v>2570</v>
      </c>
      <c r="E30" s="138">
        <v>30</v>
      </c>
      <c r="F30" s="139">
        <v>20</v>
      </c>
      <c r="G30" s="159">
        <f>IFERROR((VLOOKUP(D30,INGREDIENTS!$AA$6:$AB$14,2,FALSE))*((1.65*(0.000125^($L$31-1))*((1-EXP(-0.04*E30))/4.15))*C30*F30*1000)/($L$32),"")</f>
        <v>5.7828591355621723</v>
      </c>
      <c r="H30" s="198"/>
      <c r="I30" s="891" t="s">
        <v>638</v>
      </c>
      <c r="J30" s="892"/>
      <c r="K30" s="179"/>
      <c r="L30" s="897" t="s">
        <v>737</v>
      </c>
      <c r="M30" s="898"/>
      <c r="N30" s="180" t="s">
        <v>630</v>
      </c>
      <c r="O30" s="207"/>
    </row>
    <row r="31" spans="1:24" ht="15.6" customHeight="1">
      <c r="A31" s="885"/>
      <c r="B31" s="137"/>
      <c r="C31" s="294" t="str">
        <f>IFERROR(VLOOKUP(B31,INGREDIENTS!$R$5:$U$150,4,FALSE), "")</f>
        <v/>
      </c>
      <c r="D31" s="137"/>
      <c r="E31" s="138"/>
      <c r="F31" s="139"/>
      <c r="G31" s="159" t="str">
        <f>IFERROR((VLOOKUP(D31,INGREDIENTS!$AA$6:$AB$14,2,FALSE))*((1.65*(0.000125^($L$31-1))*((1-EXP(-0.04*E31))/4.15))*C31*F31*1000)/($L$32),"")</f>
        <v/>
      </c>
      <c r="H31" s="198"/>
      <c r="I31" s="893"/>
      <c r="J31" s="894"/>
      <c r="K31" s="49" t="s">
        <v>604</v>
      </c>
      <c r="L31" s="899">
        <v>1.044</v>
      </c>
      <c r="M31" s="900"/>
      <c r="N31" s="901">
        <v>1.06</v>
      </c>
      <c r="O31" s="902"/>
    </row>
    <row r="32" spans="1:24" ht="15.6" customHeight="1">
      <c r="A32" s="885"/>
      <c r="B32" s="137" t="s">
        <v>165</v>
      </c>
      <c r="C32" s="294">
        <f>IFERROR(VLOOKUP(B32,INGREDIENTS!$R$5:$U$150,4,FALSE), "")</f>
        <v>0.123</v>
      </c>
      <c r="D32" s="137" t="s">
        <v>598</v>
      </c>
      <c r="E32" s="138" t="s">
        <v>805</v>
      </c>
      <c r="F32" s="139">
        <v>80</v>
      </c>
      <c r="G32" s="159" t="str">
        <f>IFERROR((VLOOKUP(D32,INGREDIENTS!$AA$6:$AB$14,2,FALSE))*((1.65*(0.000125^($L$31-1))*((1-EXP(-0.04*E32))/4.15))*C32*F32*1000)/($L$32),"")</f>
        <v/>
      </c>
      <c r="H32" s="198"/>
      <c r="I32" s="893"/>
      <c r="J32" s="894"/>
      <c r="K32" s="49" t="s">
        <v>603</v>
      </c>
      <c r="L32" s="903">
        <v>22</v>
      </c>
      <c r="M32" s="904"/>
      <c r="N32" s="905">
        <v>20</v>
      </c>
      <c r="O32" s="906"/>
    </row>
    <row r="33" spans="1:15" ht="17.100000000000001" customHeight="1">
      <c r="A33" s="885"/>
      <c r="B33" s="137" t="s">
        <v>193</v>
      </c>
      <c r="C33" s="294">
        <f>IFERROR(VLOOKUP(B33,INGREDIENTS!$R$5:$U$150,4,FALSE), "")</f>
        <v>0.13</v>
      </c>
      <c r="D33" s="137" t="s">
        <v>598</v>
      </c>
      <c r="E33" s="138" t="s">
        <v>805</v>
      </c>
      <c r="F33" s="139">
        <v>80</v>
      </c>
      <c r="G33" s="159" t="str">
        <f>IFERROR((VLOOKUP(D33,INGREDIENTS!$AA$6:$AB$14,2,FALSE))*((1.65*(0.000125^($L$31-1))*((1-EXP(-0.04*E33))/4.15))*C33*F33*1000)/($L$32),"")</f>
        <v/>
      </c>
      <c r="H33" s="198"/>
      <c r="I33" s="893"/>
      <c r="J33" s="894"/>
      <c r="K33" s="907" t="s">
        <v>642</v>
      </c>
      <c r="L33" s="909">
        <v>0.6952285714285712</v>
      </c>
      <c r="M33" s="910"/>
      <c r="N33" s="909">
        <f>(2.57452*N32*(N31-1)*1000)/(D20*F20)</f>
        <v>1.0910909411972463</v>
      </c>
      <c r="O33" s="913"/>
    </row>
    <row r="34" spans="1:15" ht="17.100000000000001" customHeight="1" thickBot="1">
      <c r="A34" s="885"/>
      <c r="B34" s="137" t="s">
        <v>86</v>
      </c>
      <c r="C34" s="294">
        <f>IFERROR(VLOOKUP(B34,INGREDIENTS!$R$5:$U$150,4,FALSE), "")</f>
        <v>0.1</v>
      </c>
      <c r="D34" s="137" t="s">
        <v>598</v>
      </c>
      <c r="E34" s="138" t="s">
        <v>805</v>
      </c>
      <c r="F34" s="139">
        <v>20</v>
      </c>
      <c r="G34" s="159" t="str">
        <f>IFERROR((VLOOKUP(D34,INGREDIENTS!$AA$6:$AB$14,2,FALSE))*((1.65*(0.000125^($L$31-1))*((1-EXP(-0.04*E34))/4.15))*C34*F34*1000)/($L$32),"")</f>
        <v/>
      </c>
      <c r="H34" s="198"/>
      <c r="I34" s="895"/>
      <c r="J34" s="896"/>
      <c r="K34" s="908"/>
      <c r="L34" s="911"/>
      <c r="M34" s="912"/>
      <c r="N34" s="911"/>
      <c r="O34" s="914"/>
    </row>
    <row r="35" spans="1:15" ht="17.100000000000001" customHeight="1" thickBot="1">
      <c r="A35" s="885"/>
      <c r="B35" s="137"/>
      <c r="C35" s="294" t="str">
        <f>IFERROR(VLOOKUP(B35,INGREDIENTS!$R$5:$U$150,4,FALSE), "")</f>
        <v/>
      </c>
      <c r="D35" s="137"/>
      <c r="E35" s="138"/>
      <c r="F35" s="139"/>
      <c r="G35" s="159" t="str">
        <f>IFERROR((VLOOKUP(D35,INGREDIENTS!$AA$6:$AB$14,2,FALSE))*((1.65*(0.000125^($L$31-1))*((1-EXP(-0.04*E35))/4.15))*C35*F35*1000)/($L$32),"")</f>
        <v/>
      </c>
      <c r="H35" s="198"/>
      <c r="I35" s="801" t="s">
        <v>714</v>
      </c>
      <c r="J35" s="801"/>
      <c r="K35" s="28"/>
      <c r="L35" s="28"/>
      <c r="M35" s="28"/>
      <c r="N35" s="28"/>
      <c r="O35" s="28"/>
    </row>
    <row r="36" spans="1:15" ht="14.45" customHeight="1">
      <c r="A36" s="885"/>
      <c r="B36" s="137"/>
      <c r="C36" s="294" t="str">
        <f>IFERROR(VLOOKUP(B36,INGREDIENTS!$R$5:$U$150,4,FALSE), "")</f>
        <v/>
      </c>
      <c r="D36" s="137"/>
      <c r="E36" s="138"/>
      <c r="F36" s="139"/>
      <c r="G36" s="159" t="str">
        <f>IFERROR((VLOOKUP(D36,INGREDIENTS!$AA$6:$AB$14,2,FALSE))*((1.65*(0.000125^($L$31-1))*((1-EXP(-0.04*E36))/4.15))*C36*F36*1000)/($L$32),"")</f>
        <v/>
      </c>
      <c r="H36" s="198"/>
      <c r="I36" s="917" t="s">
        <v>645</v>
      </c>
      <c r="J36" s="918"/>
      <c r="K36" s="923" t="s">
        <v>674</v>
      </c>
      <c r="L36" s="183" t="s">
        <v>646</v>
      </c>
      <c r="M36" s="184" t="s">
        <v>647</v>
      </c>
      <c r="N36" s="185" t="s">
        <v>605</v>
      </c>
      <c r="O36" s="186" t="s">
        <v>648</v>
      </c>
    </row>
    <row r="37" spans="1:15" ht="14.45" customHeight="1">
      <c r="A37" s="885"/>
      <c r="B37" s="137"/>
      <c r="C37" s="294" t="str">
        <f>IFERROR(VLOOKUP(B37,INGREDIENTS!$R$5:$U$150,4,FALSE), "")</f>
        <v/>
      </c>
      <c r="D37" s="137"/>
      <c r="E37" s="138"/>
      <c r="F37" s="139"/>
      <c r="G37" s="159" t="str">
        <f>IFERROR((VLOOKUP(D37,INGREDIENTS!$AA$6:$AB$14,2,FALSE))*((1.65*(0.000125^($L$31-1))*((1-EXP(-0.04*E37))/4.15))*C37*F37*1000)/($L$32),"")</f>
        <v/>
      </c>
      <c r="H37" s="198"/>
      <c r="I37" s="919"/>
      <c r="J37" s="920"/>
      <c r="K37" s="924"/>
      <c r="L37" s="44">
        <v>20</v>
      </c>
      <c r="M37" s="45">
        <v>12</v>
      </c>
      <c r="N37" s="46">
        <v>43944</v>
      </c>
      <c r="O37" s="187">
        <v>43863</v>
      </c>
    </row>
    <row r="38" spans="1:15" ht="14.45" customHeight="1">
      <c r="A38" s="885"/>
      <c r="B38" s="137"/>
      <c r="C38" s="294" t="str">
        <f>IFERROR(VLOOKUP(B38,INGREDIENTS!$R$5:$U$150,4,FALSE), "")</f>
        <v/>
      </c>
      <c r="D38" s="137"/>
      <c r="E38" s="138"/>
      <c r="F38" s="139"/>
      <c r="G38" s="159" t="str">
        <f>IFERROR((VLOOKUP(D38,INGREDIENTS!$AA$6:$AB$14,2,FALSE))*((1.65*(0.000125^($L$31-1))*((1-EXP(-0.04*E38))/4.15))*C38*F38*1000)/($L$32),"")</f>
        <v/>
      </c>
      <c r="H38" s="198"/>
      <c r="I38" s="919"/>
      <c r="J38" s="920"/>
      <c r="K38" s="924"/>
      <c r="L38" s="33" t="s">
        <v>667</v>
      </c>
      <c r="M38" s="45"/>
      <c r="N38" s="46"/>
      <c r="O38" s="187"/>
    </row>
    <row r="39" spans="1:15" ht="14.45" customHeight="1">
      <c r="A39" s="885"/>
      <c r="B39" s="137"/>
      <c r="C39" s="294" t="str">
        <f>IFERROR(VLOOKUP(B39,INGREDIENTS!$R$5:$U$150,4,FALSE), "")</f>
        <v/>
      </c>
      <c r="D39" s="137"/>
      <c r="E39" s="138"/>
      <c r="F39" s="139"/>
      <c r="G39" s="159" t="str">
        <f>IFERROR((VLOOKUP(D39,INGREDIENTS!$AA$6:$AB$14,2,FALSE))*((1.65*(0.000125^($L$31-1))*((1-EXP(-0.04*E39))/4.15))*C39*F39*1000)/($L$32),"")</f>
        <v/>
      </c>
      <c r="H39" s="198"/>
      <c r="I39" s="919"/>
      <c r="J39" s="920"/>
      <c r="K39" s="924"/>
      <c r="L39" s="33" t="s">
        <v>667</v>
      </c>
      <c r="M39" s="45" t="s">
        <v>671</v>
      </c>
      <c r="N39" s="46">
        <f>N37</f>
        <v>43944</v>
      </c>
      <c r="O39" s="187"/>
    </row>
    <row r="40" spans="1:15" ht="17.45" customHeight="1">
      <c r="A40" s="885"/>
      <c r="B40" s="137"/>
      <c r="C40" s="294" t="str">
        <f>IFERROR(VLOOKUP(B40,INGREDIENTS!$R$5:$U$150,4,FALSE), "")</f>
        <v/>
      </c>
      <c r="D40" s="137"/>
      <c r="E40" s="138"/>
      <c r="F40" s="139"/>
      <c r="G40" s="159" t="str">
        <f>IFERROR((VLOOKUP(D40,INGREDIENTS!$AA$6:$AB$14,2,FALSE))*((1.65*(0.000125^($L$31-1))*((1-EXP(-0.04*E40))/4.15))*C40*F40*1000)/($L$32),"")</f>
        <v/>
      </c>
      <c r="H40" s="199"/>
      <c r="I40" s="919"/>
      <c r="J40" s="920"/>
      <c r="K40" s="924"/>
      <c r="L40" s="33" t="s">
        <v>814</v>
      </c>
      <c r="M40" s="45" t="s">
        <v>673</v>
      </c>
      <c r="N40" s="46">
        <f>N39+3</f>
        <v>43947</v>
      </c>
      <c r="O40" s="187"/>
    </row>
    <row r="41" spans="1:15" ht="14.45" customHeight="1">
      <c r="A41" s="885"/>
      <c r="B41" s="137"/>
      <c r="C41" s="294" t="str">
        <f>IFERROR(VLOOKUP(B41,INGREDIENTS!$R$5:$U$150,4,FALSE), "")</f>
        <v/>
      </c>
      <c r="D41" s="137"/>
      <c r="E41" s="138"/>
      <c r="F41" s="139"/>
      <c r="G41" s="159" t="str">
        <f>IFERROR((VLOOKUP(D41,INGREDIENTS!$AA$6:$AB$14,2,FALSE))*((1.65*(0.000125^($L$31-1))*((1-EXP(-0.04*E41))/4.15))*C41*F41*1000)/($L$32),"")</f>
        <v/>
      </c>
      <c r="H41" s="28"/>
      <c r="I41" s="919"/>
      <c r="J41" s="920"/>
      <c r="K41" s="924"/>
      <c r="L41" s="33" t="s">
        <v>815</v>
      </c>
      <c r="M41" s="45" t="s">
        <v>723</v>
      </c>
      <c r="N41" s="46"/>
      <c r="O41" s="187"/>
    </row>
    <row r="42" spans="1:15" ht="14.45" customHeight="1">
      <c r="A42" s="885"/>
      <c r="B42" s="137"/>
      <c r="C42" s="294" t="str">
        <f>IFERROR(VLOOKUP(B42,INGREDIENTS!$R$5:$U$150,4,FALSE), "")</f>
        <v/>
      </c>
      <c r="D42" s="137"/>
      <c r="E42" s="138"/>
      <c r="F42" s="139"/>
      <c r="G42" s="159" t="str">
        <f>IFERROR((VLOOKUP(D42,INGREDIENTS!$AA$6:$AB$14,2,FALSE))*((1.65*(0.000125^($L$31-1))*((1-EXP(-0.04*E42))/4.15))*C42*F42*1000)/($L$32),"")</f>
        <v/>
      </c>
      <c r="H42" s="197"/>
      <c r="I42" s="919"/>
      <c r="J42" s="920"/>
      <c r="K42" s="925"/>
      <c r="L42" s="33" t="s">
        <v>723</v>
      </c>
      <c r="M42" s="45"/>
      <c r="N42" s="46"/>
      <c r="O42" s="187"/>
    </row>
    <row r="43" spans="1:15" ht="14.45" customHeight="1" thickBot="1">
      <c r="A43" s="886"/>
      <c r="B43" s="137"/>
      <c r="C43" s="294" t="str">
        <f>IFERROR(VLOOKUP(B43,INGREDIENTS!$R$5:$U$150,4,FALSE), "")</f>
        <v/>
      </c>
      <c r="D43" s="137"/>
      <c r="E43" s="138"/>
      <c r="F43" s="139"/>
      <c r="G43" s="159" t="str">
        <f>IFERROR((VLOOKUP(D43,INGREDIENTS!$AA$6:$AB$14,2,FALSE))*((1.65*(0.000125^($L$31-1))*((1-EXP(-0.04*E43))/4.15))*C43*F43*1000)/($L$32),"")</f>
        <v/>
      </c>
      <c r="H43" s="25"/>
      <c r="I43" s="919"/>
      <c r="J43" s="920"/>
      <c r="K43" s="926" t="s">
        <v>652</v>
      </c>
      <c r="L43" s="927"/>
      <c r="M43" s="927"/>
      <c r="N43" s="927"/>
      <c r="O43" s="928"/>
    </row>
    <row r="44" spans="1:15" ht="14.45" customHeight="1" thickBot="1">
      <c r="A44" s="160"/>
      <c r="B44" s="161" t="s">
        <v>656</v>
      </c>
      <c r="C44" s="162"/>
      <c r="D44" s="162"/>
      <c r="E44" s="163"/>
      <c r="F44" s="164">
        <f>SUM(F28:F43)</f>
        <v>280</v>
      </c>
      <c r="G44" s="165">
        <f>SUM(G28:G43)</f>
        <v>35.044126361506756</v>
      </c>
      <c r="H44" s="25"/>
      <c r="I44" s="919"/>
      <c r="J44" s="920"/>
      <c r="K44" s="929" t="s">
        <v>605</v>
      </c>
      <c r="L44" s="42" t="s">
        <v>631</v>
      </c>
      <c r="M44" s="42" t="s">
        <v>653</v>
      </c>
      <c r="N44" s="42"/>
      <c r="O44" s="188" t="s">
        <v>654</v>
      </c>
    </row>
    <row r="45" spans="1:15" ht="14.45" customHeight="1">
      <c r="H45" s="25"/>
      <c r="I45" s="919"/>
      <c r="J45" s="920"/>
      <c r="K45" s="924"/>
      <c r="L45" s="195"/>
      <c r="M45" s="119" t="s">
        <v>623</v>
      </c>
      <c r="N45" s="120" t="s">
        <v>623</v>
      </c>
      <c r="O45" s="189" t="s">
        <v>623</v>
      </c>
    </row>
    <row r="46" spans="1:15" ht="18.600000000000001" customHeight="1">
      <c r="A46" s="931" t="s">
        <v>657</v>
      </c>
      <c r="B46" s="196" t="s">
        <v>1</v>
      </c>
      <c r="C46" s="2" t="s">
        <v>752</v>
      </c>
      <c r="D46" s="196" t="s">
        <v>69</v>
      </c>
      <c r="E46" s="196" t="s">
        <v>70</v>
      </c>
      <c r="F46" s="934" t="s">
        <v>658</v>
      </c>
      <c r="G46" s="935"/>
      <c r="H46" s="25"/>
      <c r="I46" s="919"/>
      <c r="J46" s="920"/>
      <c r="K46" s="924"/>
      <c r="L46" s="48"/>
      <c r="M46" s="119" t="s">
        <v>623</v>
      </c>
      <c r="N46" s="120" t="s">
        <v>623</v>
      </c>
      <c r="O46" s="189" t="s">
        <v>623</v>
      </c>
    </row>
    <row r="47" spans="1:15" ht="14.45" customHeight="1">
      <c r="A47" s="932"/>
      <c r="B47" s="3" t="s">
        <v>824</v>
      </c>
      <c r="C47" s="293">
        <v>11</v>
      </c>
      <c r="D47" s="240" t="str">
        <f>IFERROR(VLOOKUP(B47,INGREDIENTS!$AF$6:$AT$37,7,FALSE),"")</f>
        <v/>
      </c>
      <c r="E47" s="240" t="str">
        <f>IFERROR(VLOOKUP(B47,INGREDIENTS!$AF$6:$AT$37,8,FALSE),"")</f>
        <v/>
      </c>
      <c r="F47" s="936" t="str">
        <f>IFERROR(VLOOKUP(B47,INGREDIENTS!$AF$6:$AT$37,6,FALSE),"")</f>
        <v/>
      </c>
      <c r="G47" s="937"/>
      <c r="I47" s="919"/>
      <c r="J47" s="920"/>
      <c r="K47" s="924"/>
      <c r="L47" s="48"/>
      <c r="M47" s="119" t="s">
        <v>623</v>
      </c>
      <c r="N47" s="120" t="s">
        <v>623</v>
      </c>
      <c r="O47" s="189" t="s">
        <v>623</v>
      </c>
    </row>
    <row r="48" spans="1:15" ht="14.45" customHeight="1">
      <c r="A48" s="932"/>
      <c r="B48" s="3" t="s">
        <v>821</v>
      </c>
      <c r="C48" s="293">
        <v>6</v>
      </c>
      <c r="D48" s="240" t="str">
        <f>IFERROR(VLOOKUP(B48,INGREDIENTS!$AF$6:$AT$37,7,FALSE),"")</f>
        <v/>
      </c>
      <c r="E48" s="240" t="str">
        <f>IFERROR(VLOOKUP(B48,INGREDIENTS!$AF$6:$AT$37,8,FALSE),"")</f>
        <v/>
      </c>
      <c r="F48" s="936" t="str">
        <f>IFERROR(VLOOKUP(B48,INGREDIENTS!$AF$6:$AT$37,5,FALSE),"")</f>
        <v/>
      </c>
      <c r="G48" s="937"/>
      <c r="I48" s="919"/>
      <c r="J48" s="920"/>
      <c r="K48" s="924"/>
      <c r="L48" s="48"/>
      <c r="M48" s="119" t="s">
        <v>623</v>
      </c>
      <c r="N48" s="120" t="s">
        <v>623</v>
      </c>
      <c r="O48" s="189" t="s">
        <v>623</v>
      </c>
    </row>
    <row r="49" spans="1:15" ht="14.45" customHeight="1" thickBot="1">
      <c r="A49" s="932"/>
      <c r="B49" s="3"/>
      <c r="C49" s="293"/>
      <c r="D49" s="240" t="str">
        <f>IFERROR(VLOOKUP(B49,INGREDIENTS!$AF$6:$AT$37,7,FALSE),"")</f>
        <v/>
      </c>
      <c r="E49" s="240" t="str">
        <f>IFERROR(VLOOKUP(B49,INGREDIENTS!$AF$6:$AT$37,8,FALSE),"")</f>
        <v/>
      </c>
      <c r="F49" s="936" t="str">
        <f>IFERROR(VLOOKUP(B49,INGREDIENTS!$AF$6:$AT$37,5,FALSE),"")</f>
        <v/>
      </c>
      <c r="G49" s="937"/>
      <c r="I49" s="921"/>
      <c r="J49" s="922"/>
      <c r="K49" s="930"/>
      <c r="L49" s="190"/>
      <c r="M49" s="191"/>
      <c r="N49" s="192" t="s">
        <v>623</v>
      </c>
      <c r="O49" s="193" t="s">
        <v>623</v>
      </c>
    </row>
    <row r="50" spans="1:15" ht="15" customHeight="1" thickBot="1">
      <c r="A50" s="933"/>
      <c r="B50" s="3"/>
      <c r="C50" s="293"/>
      <c r="D50" s="240" t="str">
        <f>IFERROR(VLOOKUP(B50,INGREDIENTS!$AF$6:$AT$37,7,FALSE),"")</f>
        <v/>
      </c>
      <c r="E50" s="240" t="str">
        <f>IFERROR(VLOOKUP(B50,INGREDIENTS!$AF$6:$AT$37,8,FALSE),"")</f>
        <v/>
      </c>
      <c r="F50" s="936" t="str">
        <f>IFERROR(VLOOKUP(B50,INGREDIENTS!$AF$6:$AT$37,5,FALSE),"")</f>
        <v/>
      </c>
      <c r="G50" s="937"/>
      <c r="I50" s="801" t="s">
        <v>714</v>
      </c>
      <c r="J50" s="801"/>
    </row>
    <row r="51" spans="1:15" ht="14.45" customHeight="1">
      <c r="I51" s="960" t="s">
        <v>655</v>
      </c>
      <c r="J51" s="961"/>
      <c r="K51" s="194">
        <v>43857</v>
      </c>
      <c r="L51" s="966" t="s">
        <v>629</v>
      </c>
      <c r="M51" s="967"/>
      <c r="N51" s="966" t="s">
        <v>630</v>
      </c>
      <c r="O51" s="968"/>
    </row>
    <row r="52" spans="1:15" ht="14.45" customHeight="1">
      <c r="I52" s="962"/>
      <c r="J52" s="963"/>
      <c r="K52" s="208" t="s">
        <v>603</v>
      </c>
      <c r="L52" s="969">
        <v>20</v>
      </c>
      <c r="M52" s="970"/>
      <c r="N52" s="971">
        <v>17</v>
      </c>
      <c r="O52" s="972"/>
    </row>
    <row r="53" spans="1:15" ht="14.45" customHeight="1">
      <c r="I53" s="962"/>
      <c r="J53" s="963"/>
      <c r="K53" s="212" t="s">
        <v>606</v>
      </c>
      <c r="L53" s="973">
        <v>1.018</v>
      </c>
      <c r="M53" s="974"/>
      <c r="N53" s="975">
        <v>1.018</v>
      </c>
      <c r="O53" s="976"/>
    </row>
    <row r="54" spans="1:15" ht="14.45" customHeight="1">
      <c r="I54" s="962"/>
      <c r="J54" s="963"/>
      <c r="K54" s="208" t="s">
        <v>653</v>
      </c>
      <c r="L54" s="915" t="str">
        <f>F48</f>
        <v/>
      </c>
      <c r="M54" s="916"/>
      <c r="N54" s="915">
        <f>(N31-L53)/(N31-1)</f>
        <v>0.7</v>
      </c>
      <c r="O54" s="952"/>
    </row>
    <row r="55" spans="1:15" ht="14.45" customHeight="1">
      <c r="I55" s="962"/>
      <c r="J55" s="963"/>
      <c r="K55" s="208" t="s">
        <v>659</v>
      </c>
      <c r="L55" s="953">
        <f>(76.08*(L31-L53)/(1.775-L31))*(L53/0.794)</f>
        <v>3.4693950180388513</v>
      </c>
      <c r="M55" s="954"/>
      <c r="N55" s="953">
        <f>(76.08*(N31-N53)/(1.775-N31))*(N53/0.794)</f>
        <v>5.7298206478659939</v>
      </c>
      <c r="O55" s="954"/>
    </row>
    <row r="56" spans="1:15" ht="14.45" customHeight="1">
      <c r="I56" s="962"/>
      <c r="J56" s="963"/>
      <c r="K56" s="41" t="s">
        <v>660</v>
      </c>
      <c r="L56" s="955" t="s">
        <v>808</v>
      </c>
      <c r="M56" s="956"/>
      <c r="N56" s="955">
        <v>2.5</v>
      </c>
      <c r="O56" s="957"/>
    </row>
    <row r="57" spans="1:15" ht="14.45" customHeight="1">
      <c r="I57" s="962"/>
      <c r="J57" s="963"/>
      <c r="K57" s="958" t="s">
        <v>661</v>
      </c>
      <c r="L57" s="959"/>
      <c r="M57" s="958" t="s">
        <v>662</v>
      </c>
      <c r="N57" s="959"/>
      <c r="O57" s="219" t="s">
        <v>721</v>
      </c>
    </row>
    <row r="58" spans="1:15" ht="14.45" customHeight="1" thickBot="1">
      <c r="I58" s="962"/>
      <c r="J58" s="963"/>
      <c r="K58" s="940">
        <v>5.5</v>
      </c>
      <c r="L58" s="941"/>
      <c r="M58" s="942">
        <f>L52*K58</f>
        <v>110</v>
      </c>
      <c r="N58" s="943"/>
      <c r="O58" s="234">
        <v>1.6</v>
      </c>
    </row>
    <row r="59" spans="1:15">
      <c r="I59" s="962"/>
      <c r="J59" s="963"/>
      <c r="K59" s="944" t="s">
        <v>722</v>
      </c>
      <c r="L59" s="944"/>
      <c r="M59" s="945"/>
      <c r="N59" s="230" t="s">
        <v>719</v>
      </c>
      <c r="O59" s="231">
        <f>K58*0.75*1000/(M58/O58)</f>
        <v>60</v>
      </c>
    </row>
    <row r="60" spans="1:15" ht="15" customHeight="1" thickBot="1">
      <c r="I60" s="964"/>
      <c r="J60" s="965"/>
      <c r="K60" s="229"/>
      <c r="L60" s="229"/>
      <c r="M60" s="229"/>
      <c r="N60" s="232" t="s">
        <v>720</v>
      </c>
      <c r="O60" s="233">
        <f>K58*0.33*1000/(M58/O58)</f>
        <v>26.400000000000002</v>
      </c>
    </row>
    <row r="61" spans="1:15" ht="15.75" thickBot="1">
      <c r="I61" s="801" t="s">
        <v>714</v>
      </c>
      <c r="J61" s="801"/>
      <c r="K61" t="s">
        <v>860</v>
      </c>
    </row>
    <row r="63" spans="1:15">
      <c r="K63" s="351" t="s">
        <v>1857</v>
      </c>
    </row>
    <row r="64" spans="1:15">
      <c r="O64" s="220"/>
    </row>
    <row r="65" spans="15:21">
      <c r="O65" s="220"/>
    </row>
    <row r="66" spans="15:21">
      <c r="O66" s="220"/>
      <c r="P66" s="221"/>
    </row>
    <row r="67" spans="15:21">
      <c r="O67" s="220"/>
      <c r="P67" s="221"/>
    </row>
    <row r="68" spans="15:21">
      <c r="O68" s="222"/>
      <c r="P68" s="223"/>
    </row>
    <row r="69" spans="15:21">
      <c r="O69" s="222"/>
      <c r="P69" s="223"/>
    </row>
    <row r="70" spans="15:21">
      <c r="O70" s="220"/>
      <c r="P70" s="224"/>
    </row>
    <row r="72" spans="15:21">
      <c r="R72" s="225"/>
      <c r="S72" s="226"/>
      <c r="U72" s="18"/>
    </row>
    <row r="73" spans="15:21">
      <c r="R73" s="225"/>
      <c r="S73" s="226"/>
      <c r="U73" s="18"/>
    </row>
    <row r="74" spans="15:21">
      <c r="R74" s="227"/>
      <c r="U74" s="16"/>
    </row>
    <row r="75" spans="15:21">
      <c r="O75" s="228"/>
      <c r="R75" s="225"/>
      <c r="S75" s="226"/>
      <c r="U75" s="16"/>
    </row>
  </sheetData>
  <mergeCells count="122">
    <mergeCell ref="D22:F22"/>
    <mergeCell ref="D23:F23"/>
    <mergeCell ref="D24:F24"/>
    <mergeCell ref="D25:F25"/>
    <mergeCell ref="R7:W7"/>
    <mergeCell ref="U20:W20"/>
    <mergeCell ref="U21:V21"/>
    <mergeCell ref="U22:V22"/>
    <mergeCell ref="U23:V23"/>
    <mergeCell ref="U24:V24"/>
    <mergeCell ref="U25:V26"/>
    <mergeCell ref="W25:W26"/>
    <mergeCell ref="Q26:R26"/>
    <mergeCell ref="L26:M26"/>
    <mergeCell ref="N26:O26"/>
    <mergeCell ref="I19:J19"/>
    <mergeCell ref="I14:J18"/>
    <mergeCell ref="L14:M14"/>
    <mergeCell ref="N14:O14"/>
    <mergeCell ref="L15:M15"/>
    <mergeCell ref="N15:O15"/>
    <mergeCell ref="K17:K18"/>
    <mergeCell ref="L17:M18"/>
    <mergeCell ref="N17:O18"/>
    <mergeCell ref="U27:V27"/>
    <mergeCell ref="Q20:S20"/>
    <mergeCell ref="A17:A18"/>
    <mergeCell ref="A9:A16"/>
    <mergeCell ref="A46:A50"/>
    <mergeCell ref="I61:J61"/>
    <mergeCell ref="N54:O54"/>
    <mergeCell ref="L55:M55"/>
    <mergeCell ref="N55:O55"/>
    <mergeCell ref="L56:M56"/>
    <mergeCell ref="N56:O56"/>
    <mergeCell ref="K57:L57"/>
    <mergeCell ref="M57:N57"/>
    <mergeCell ref="F49:G49"/>
    <mergeCell ref="F50:G50"/>
    <mergeCell ref="I50:J50"/>
    <mergeCell ref="I51:J60"/>
    <mergeCell ref="L51:M51"/>
    <mergeCell ref="N51:O51"/>
    <mergeCell ref="L52:M52"/>
    <mergeCell ref="N52:O52"/>
    <mergeCell ref="L53:M53"/>
    <mergeCell ref="N53:O53"/>
    <mergeCell ref="L54:M54"/>
    <mergeCell ref="F46:G46"/>
    <mergeCell ref="F47:G47"/>
    <mergeCell ref="F48:G48"/>
    <mergeCell ref="K58:L58"/>
    <mergeCell ref="M58:N58"/>
    <mergeCell ref="K59:M59"/>
    <mergeCell ref="N31:O31"/>
    <mergeCell ref="L32:M32"/>
    <mergeCell ref="N32:O32"/>
    <mergeCell ref="K33:K34"/>
    <mergeCell ref="L33:M34"/>
    <mergeCell ref="N33:O34"/>
    <mergeCell ref="L28:M28"/>
    <mergeCell ref="N28:O28"/>
    <mergeCell ref="I30:J34"/>
    <mergeCell ref="L30:M30"/>
    <mergeCell ref="L31:M31"/>
    <mergeCell ref="I35:J35"/>
    <mergeCell ref="I36:J49"/>
    <mergeCell ref="K36:K42"/>
    <mergeCell ref="K43:O43"/>
    <mergeCell ref="K44:K49"/>
    <mergeCell ref="B24:C24"/>
    <mergeCell ref="Q24:R24"/>
    <mergeCell ref="B25:C25"/>
    <mergeCell ref="L25:M25"/>
    <mergeCell ref="N25:O25"/>
    <mergeCell ref="Q25:R25"/>
    <mergeCell ref="Q21:R21"/>
    <mergeCell ref="A22:A25"/>
    <mergeCell ref="B22:C22"/>
    <mergeCell ref="L22:M22"/>
    <mergeCell ref="N22:O22"/>
    <mergeCell ref="Q22:R22"/>
    <mergeCell ref="B23:C23"/>
    <mergeCell ref="L23:M23"/>
    <mergeCell ref="N23:O23"/>
    <mergeCell ref="Q23:R23"/>
    <mergeCell ref="I20:J28"/>
    <mergeCell ref="L20:M20"/>
    <mergeCell ref="N20:O20"/>
    <mergeCell ref="L21:M21"/>
    <mergeCell ref="N21:O21"/>
    <mergeCell ref="A27:A43"/>
    <mergeCell ref="L27:M27"/>
    <mergeCell ref="N27:O27"/>
    <mergeCell ref="I13:J13"/>
    <mergeCell ref="I11:J12"/>
    <mergeCell ref="K11:K12"/>
    <mergeCell ref="L11:M11"/>
    <mergeCell ref="N11:N12"/>
    <mergeCell ref="O11:O12"/>
    <mergeCell ref="L12:M12"/>
    <mergeCell ref="L16:M16"/>
    <mergeCell ref="N16:O16"/>
    <mergeCell ref="Q11:R11"/>
    <mergeCell ref="I10:J10"/>
    <mergeCell ref="K10:O10"/>
    <mergeCell ref="B5:C5"/>
    <mergeCell ref="A1:G1"/>
    <mergeCell ref="I1:O1"/>
    <mergeCell ref="A2:G2"/>
    <mergeCell ref="I2:O2"/>
    <mergeCell ref="B3:C3"/>
    <mergeCell ref="D3:G3"/>
    <mergeCell ref="I3:J9"/>
    <mergeCell ref="K3:M3"/>
    <mergeCell ref="B4:C4"/>
    <mergeCell ref="K4:M4"/>
    <mergeCell ref="K5:K9"/>
    <mergeCell ref="B6:C6"/>
    <mergeCell ref="A7:B7"/>
    <mergeCell ref="Q3:Q6"/>
    <mergeCell ref="Q7:Q9"/>
  </mergeCells>
  <dataValidations count="1">
    <dataValidation type="list" allowBlank="1" showInputMessage="1" showErrorMessage="1" sqref="S24" xr:uid="{C9C25DF3-8986-4ED7-B16F-08C117317713}">
      <formula1>"Sucre,DMS,LMS,Eau"</formula1>
    </dataValidation>
  </dataValidations>
  <hyperlinks>
    <hyperlink ref="Q12" r:id="rId1" xr:uid="{39F88394-86AB-4F00-BF40-8F87A9BB74E2}"/>
    <hyperlink ref="Q13" r:id="rId2" xr:uid="{733E0469-2219-474B-8D22-CC115BFD4059}"/>
  </hyperlinks>
  <pageMargins left="0.7" right="0.7" top="0.75" bottom="0.75" header="0.3" footer="0.3"/>
  <pageSetup paperSize="9" orientation="portrait" r:id="rId3"/>
  <drawing r:id="rId4"/>
  <extLst>
    <ext xmlns:x14="http://schemas.microsoft.com/office/spreadsheetml/2009/9/main" uri="{CCE6A557-97BC-4b89-ADB6-D9C93CAAB3DF}">
      <x14:dataValidations xmlns:xm="http://schemas.microsoft.com/office/excel/2006/main" count="7">
        <x14:dataValidation type="list" allowBlank="1" showInputMessage="1" showErrorMessage="1" xr:uid="{93E2783E-F2A8-40B1-84F5-77FF881372D6}">
          <x14:formula1>
            <xm:f>INGREDIENTS!$AF$6:$AF$33</xm:f>
          </x14:formula1>
          <xm:sqref>B47:B50</xm:sqref>
        </x14:dataValidation>
        <x14:dataValidation type="list" allowBlank="1" showInputMessage="1" showErrorMessage="1" xr:uid="{D5AF230D-294A-427D-B693-454E69469B12}">
          <x14:formula1>
            <xm:f>INGREDIENTS!$R$6:$R$151</xm:f>
          </x14:formula1>
          <xm:sqref>B28:B43</xm:sqref>
        </x14:dataValidation>
        <x14:dataValidation type="list" allowBlank="1" showInputMessage="1" showErrorMessage="1" xr:uid="{2BACC2A7-21AC-4950-A0B9-B103BB357D30}">
          <x14:formula1>
            <xm:f>INGREDIENTS!$BD$8:$BD$182</xm:f>
          </x14:formula1>
          <xm:sqref>R7</xm:sqref>
        </x14:dataValidation>
        <x14:dataValidation type="list" allowBlank="1" showInputMessage="1" showErrorMessage="1" xr:uid="{F368CF53-0DD7-479F-AE94-65F91F90C6FB}">
          <x14:formula1>
            <xm:f>INGREDIENTS!$AA$6:$AA$14</xm:f>
          </x14:formula1>
          <xm:sqref>D28:D43</xm:sqref>
        </x14:dataValidation>
        <x14:dataValidation type="list" allowBlank="1" showInputMessage="1" showErrorMessage="1" xr:uid="{2C486F83-A6B7-4691-8876-30BBFE1382DB}">
          <x14:formula1>
            <xm:f>INGREDIENTS!$I$6:$I$23</xm:f>
          </x14:formula1>
          <xm:sqref>B17:B18</xm:sqref>
        </x14:dataValidation>
        <x14:dataValidation type="list" allowBlank="1" showInputMessage="1" showErrorMessage="1" xr:uid="{8D3BD456-59A4-4E02-9F70-CD767907663E}">
          <x14:formula1>
            <xm:f>INGREDIENTS!$AV$6:$AV$27</xm:f>
          </x14:formula1>
          <xm:sqref>B23:C25</xm:sqref>
        </x14:dataValidation>
        <x14:dataValidation type="list" allowBlank="1" showInputMessage="1" showErrorMessage="1" xr:uid="{71C78E2E-CCD9-468F-B92F-C07CBE7AD8D3}">
          <x14:formula1>
            <xm:f>INGREDIENTS!$A$6:$A$121</xm:f>
          </x14:formula1>
          <xm:sqref>B10:B16</xm:sqref>
        </x14:dataValidation>
      </x14:dataValidation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EAA0C-83F3-4C49-BC7E-E19AC2795660}">
  <dimension ref="A1:X75"/>
  <sheetViews>
    <sheetView zoomScale="90" zoomScaleNormal="90" workbookViewId="0">
      <selection sqref="A1:G1"/>
    </sheetView>
  </sheetViews>
  <sheetFormatPr baseColWidth="10" defaultColWidth="8.7109375" defaultRowHeight="15"/>
  <cols>
    <col min="1" max="1" width="10.5703125" bestFit="1" customWidth="1"/>
    <col min="2" max="2" width="18" bestFit="1" customWidth="1"/>
    <col min="3" max="3" width="9" bestFit="1" customWidth="1"/>
    <col min="5" max="5" width="9.5703125" bestFit="1" customWidth="1"/>
    <col min="7" max="7" width="10.140625" bestFit="1" customWidth="1"/>
    <col min="8" max="8" width="2.85546875" customWidth="1"/>
    <col min="9" max="9" width="11.42578125" customWidth="1"/>
    <col min="11" max="11" width="16.42578125" customWidth="1"/>
    <col min="12" max="12" width="9.5703125" customWidth="1"/>
    <col min="14" max="14" width="10.140625" bestFit="1" customWidth="1"/>
    <col min="15" max="15" width="9.28515625" customWidth="1"/>
    <col min="17" max="17" width="10.42578125" customWidth="1"/>
    <col min="18" max="18" width="10.42578125" bestFit="1" customWidth="1"/>
    <col min="19" max="19" width="12.85546875" bestFit="1" customWidth="1"/>
    <col min="22" max="22" width="11.42578125" bestFit="1" customWidth="1"/>
    <col min="23" max="23" width="9.5703125" customWidth="1"/>
  </cols>
  <sheetData>
    <row r="1" spans="1:24" ht="30.75" thickBot="1">
      <c r="A1" s="758" t="s">
        <v>816</v>
      </c>
      <c r="B1" s="759"/>
      <c r="C1" s="759"/>
      <c r="D1" s="759"/>
      <c r="E1" s="759"/>
      <c r="F1" s="759"/>
      <c r="G1" s="760"/>
      <c r="H1" s="353"/>
      <c r="I1" s="761" t="s">
        <v>665</v>
      </c>
      <c r="J1" s="762"/>
      <c r="K1" s="762"/>
      <c r="L1" s="762"/>
      <c r="M1" s="762"/>
      <c r="N1" s="762"/>
      <c r="O1" s="763"/>
    </row>
    <row r="2" spans="1:24" ht="66.95" customHeight="1" thickBot="1">
      <c r="A2" s="764" t="s">
        <v>715</v>
      </c>
      <c r="B2" s="764"/>
      <c r="C2" s="764"/>
      <c r="D2" s="764"/>
      <c r="E2" s="764"/>
      <c r="F2" s="764"/>
      <c r="G2" s="764"/>
      <c r="H2" s="354"/>
      <c r="I2" s="765" t="s">
        <v>856</v>
      </c>
      <c r="J2" s="766"/>
      <c r="K2" s="766"/>
      <c r="L2" s="766"/>
      <c r="M2" s="766"/>
      <c r="N2" s="766"/>
      <c r="O2" s="766"/>
    </row>
    <row r="3" spans="1:24" ht="14.45" customHeight="1">
      <c r="A3" s="142" t="s">
        <v>601</v>
      </c>
      <c r="B3" s="767" t="s">
        <v>663</v>
      </c>
      <c r="C3" s="768"/>
      <c r="D3" s="769" t="s">
        <v>602</v>
      </c>
      <c r="E3" s="770"/>
      <c r="F3" s="770"/>
      <c r="G3" s="771"/>
      <c r="H3" s="355"/>
      <c r="I3" s="772" t="s">
        <v>615</v>
      </c>
      <c r="J3" s="773"/>
      <c r="K3" s="778" t="s">
        <v>616</v>
      </c>
      <c r="L3" s="779"/>
      <c r="M3" s="780"/>
      <c r="N3" s="172">
        <v>20</v>
      </c>
      <c r="O3" s="173">
        <v>75.840814005243004</v>
      </c>
      <c r="Q3" s="744" t="s">
        <v>624</v>
      </c>
      <c r="R3" s="47" t="s">
        <v>871</v>
      </c>
      <c r="S3" s="47" t="s">
        <v>873</v>
      </c>
      <c r="T3" s="47" t="s">
        <v>875</v>
      </c>
      <c r="U3" s="47" t="s">
        <v>877</v>
      </c>
      <c r="V3" s="47" t="s">
        <v>879</v>
      </c>
      <c r="W3" s="47" t="s">
        <v>881</v>
      </c>
      <c r="X3" s="47" t="s">
        <v>23</v>
      </c>
    </row>
    <row r="4" spans="1:24" ht="14.45" customHeight="1">
      <c r="A4" s="143" t="s">
        <v>603</v>
      </c>
      <c r="B4" s="747">
        <v>20</v>
      </c>
      <c r="C4" s="748"/>
      <c r="D4" s="37" t="s">
        <v>604</v>
      </c>
      <c r="E4" s="134">
        <v>1.0549999999999999</v>
      </c>
      <c r="F4" s="37" t="s">
        <v>612</v>
      </c>
      <c r="G4" s="144">
        <f>(76.08*(E4-E5)/(1.775-E4))*(E5/0.794)</f>
        <v>5.5327279596977235</v>
      </c>
      <c r="H4" s="356"/>
      <c r="I4" s="774"/>
      <c r="J4" s="775"/>
      <c r="K4" s="980" t="s">
        <v>619</v>
      </c>
      <c r="L4" s="981"/>
      <c r="M4" s="982"/>
      <c r="N4" s="213"/>
      <c r="O4" s="214"/>
      <c r="Q4" s="745"/>
      <c r="R4" s="307" t="s">
        <v>872</v>
      </c>
      <c r="S4" s="307" t="s">
        <v>874</v>
      </c>
      <c r="T4" s="307" t="s">
        <v>876</v>
      </c>
      <c r="U4" s="307" t="s">
        <v>878</v>
      </c>
      <c r="V4" s="307" t="s">
        <v>880</v>
      </c>
      <c r="W4" s="307" t="s">
        <v>882</v>
      </c>
      <c r="X4" s="47"/>
    </row>
    <row r="5" spans="1:24" ht="14.45" customHeight="1">
      <c r="A5" s="143" t="s">
        <v>605</v>
      </c>
      <c r="B5" s="749" t="s">
        <v>802</v>
      </c>
      <c r="C5" s="750"/>
      <c r="D5" s="37" t="s">
        <v>606</v>
      </c>
      <c r="E5" s="134">
        <v>1.014</v>
      </c>
      <c r="F5" s="37" t="s">
        <v>614</v>
      </c>
      <c r="G5" s="258">
        <v>2.5</v>
      </c>
      <c r="H5" s="357"/>
      <c r="I5" s="774"/>
      <c r="J5" s="775"/>
      <c r="K5" s="751" t="s">
        <v>622</v>
      </c>
      <c r="L5" s="121" t="s">
        <v>609</v>
      </c>
      <c r="M5" s="36">
        <v>68</v>
      </c>
      <c r="N5" s="27">
        <v>80</v>
      </c>
      <c r="O5" s="174"/>
      <c r="Q5" s="745"/>
      <c r="R5" s="318">
        <v>56.9</v>
      </c>
      <c r="S5" s="318">
        <v>149.5</v>
      </c>
      <c r="T5" s="318">
        <v>115.9</v>
      </c>
      <c r="U5" s="318">
        <v>18.600000000000001</v>
      </c>
      <c r="V5" s="318">
        <v>41.5</v>
      </c>
      <c r="W5" s="318">
        <v>308.2</v>
      </c>
      <c r="X5" s="29">
        <v>7.3</v>
      </c>
    </row>
    <row r="6" spans="1:24" ht="14.45" customHeight="1">
      <c r="A6" s="143"/>
      <c r="B6" s="749"/>
      <c r="C6" s="750"/>
      <c r="D6" s="37" t="s">
        <v>608</v>
      </c>
      <c r="E6" s="135">
        <f>C20</f>
        <v>11.286142562780768</v>
      </c>
      <c r="F6" s="37" t="s">
        <v>618</v>
      </c>
      <c r="G6" s="144">
        <f>E7/((E4-1)*1000)</f>
        <v>0.44408364494480634</v>
      </c>
      <c r="H6" s="356"/>
      <c r="I6" s="774"/>
      <c r="J6" s="775"/>
      <c r="K6" s="752"/>
      <c r="L6" s="121" t="s">
        <v>611</v>
      </c>
      <c r="M6" s="36" t="s">
        <v>623</v>
      </c>
      <c r="N6" s="27" t="s">
        <v>623</v>
      </c>
      <c r="O6" s="174"/>
      <c r="Q6" s="746"/>
      <c r="R6" s="308"/>
      <c r="S6" s="308"/>
      <c r="T6" s="308"/>
      <c r="U6" s="308"/>
      <c r="V6" s="308"/>
      <c r="W6" s="308"/>
      <c r="X6" s="308"/>
    </row>
    <row r="7" spans="1:24" ht="17.45" customHeight="1" thickBot="1">
      <c r="A7" s="754" t="s">
        <v>607</v>
      </c>
      <c r="B7" s="755"/>
      <c r="C7" s="206">
        <f>N17</f>
        <v>0.83450773630874509</v>
      </c>
      <c r="D7" s="145" t="s">
        <v>610</v>
      </c>
      <c r="E7" s="215">
        <f>G44</f>
        <v>24.424600471964322</v>
      </c>
      <c r="F7" s="146" t="s">
        <v>621</v>
      </c>
      <c r="G7" s="147">
        <f>E7/(0.1808*(259-(259/E4))+(0.8192*(259-(259/E5))))</f>
        <v>4.5478041679537817</v>
      </c>
      <c r="H7" s="358"/>
      <c r="I7" s="774"/>
      <c r="J7" s="775"/>
      <c r="K7" s="752"/>
      <c r="L7" s="121" t="s">
        <v>613</v>
      </c>
      <c r="M7" s="36" t="s">
        <v>623</v>
      </c>
      <c r="N7" s="27" t="s">
        <v>623</v>
      </c>
      <c r="O7" s="174"/>
      <c r="Q7" s="756" t="s">
        <v>917</v>
      </c>
      <c r="R7" s="949" t="s">
        <v>1841</v>
      </c>
      <c r="S7" s="950"/>
      <c r="T7" s="950"/>
      <c r="U7" s="950"/>
      <c r="V7" s="950"/>
      <c r="W7" s="951"/>
      <c r="X7" s="321"/>
    </row>
    <row r="8" spans="1:24" ht="18" thickBot="1">
      <c r="A8" s="355"/>
      <c r="B8" s="367"/>
      <c r="C8" s="368"/>
      <c r="D8" s="352"/>
      <c r="E8" s="352"/>
      <c r="F8" s="359"/>
      <c r="G8" s="359"/>
      <c r="H8" s="359"/>
      <c r="I8" s="774"/>
      <c r="J8" s="775"/>
      <c r="K8" s="752"/>
      <c r="L8" s="121" t="s">
        <v>617</v>
      </c>
      <c r="M8" s="36">
        <v>78</v>
      </c>
      <c r="N8" s="27">
        <v>10</v>
      </c>
      <c r="O8" s="174"/>
      <c r="Q8" s="757"/>
      <c r="R8" s="320">
        <f>VLOOKUP(R7,INGREDIENTS!$BD$8:$CA$185,2,FALSE)</f>
        <v>0</v>
      </c>
      <c r="S8" s="320">
        <f>VLOOKUP($R$7,INGREDIENTS!$BD$8:$CA$185,5,FALSE)</f>
        <v>0</v>
      </c>
      <c r="T8" s="320">
        <f>VLOOKUP($R$7,INGREDIENTS!$BD$8:$CA$185,8,FALSE)</f>
        <v>50</v>
      </c>
      <c r="U8" s="320">
        <f>VLOOKUP($R$7,INGREDIENTS!$BD$8:$CA$185,11,FALSE)</f>
        <v>0</v>
      </c>
      <c r="V8" s="320">
        <f>VLOOKUP($R$7,INGREDIENTS!$BD$8:$CA$185,14,FALSE)</f>
        <v>0</v>
      </c>
      <c r="W8" s="320">
        <f>VLOOKUP($R$7,INGREDIENTS!$BD$8:$CA$185,17,FALSE)</f>
        <v>0</v>
      </c>
      <c r="X8" s="322"/>
    </row>
    <row r="9" spans="1:24" ht="17.45" customHeight="1" thickBot="1">
      <c r="A9" s="781" t="s">
        <v>634</v>
      </c>
      <c r="B9" s="148" t="s">
        <v>1</v>
      </c>
      <c r="C9" s="148" t="s">
        <v>2</v>
      </c>
      <c r="D9" s="148" t="s">
        <v>632</v>
      </c>
      <c r="E9" s="148" t="s">
        <v>23</v>
      </c>
      <c r="F9" s="148" t="s">
        <v>633</v>
      </c>
      <c r="G9" s="149" t="s">
        <v>666</v>
      </c>
      <c r="H9" s="355"/>
      <c r="I9" s="776"/>
      <c r="J9" s="777"/>
      <c r="K9" s="753"/>
      <c r="L9" s="175" t="s">
        <v>620</v>
      </c>
      <c r="M9" s="176">
        <v>67</v>
      </c>
      <c r="N9" s="177">
        <f>SUM(N5:N7)</f>
        <v>80</v>
      </c>
      <c r="O9" s="178"/>
      <c r="Q9" s="757"/>
      <c r="R9" s="320">
        <f>VLOOKUP(R7,INGREDIENTS!$BD$8:$CA$185,3,FALSE)</f>
        <v>400</v>
      </c>
      <c r="S9" s="320">
        <f>VLOOKUP($R$7,INGREDIENTS!$BD$8:$CA$185,6,FALSE)</f>
        <v>150</v>
      </c>
      <c r="T9" s="320">
        <f>VLOOKUP($R$7,INGREDIENTS!$BD$8:$CA$185,9,FALSE)</f>
        <v>150</v>
      </c>
      <c r="U9" s="320">
        <f>VLOOKUP($R$7,INGREDIENTS!$BD$8:$CA$185,12,FALSE)</f>
        <v>20</v>
      </c>
      <c r="V9" s="320">
        <f>VLOOKUP($R$7,INGREDIENTS!$BD$8:$CA$185,15,FALSE)</f>
        <v>50</v>
      </c>
      <c r="W9" s="320">
        <f>VLOOKUP($R$7,INGREDIENTS!$BD$8:$CA$185,18,FALSE)</f>
        <v>100</v>
      </c>
      <c r="X9" s="308"/>
    </row>
    <row r="10" spans="1:24" ht="15" customHeight="1" thickBot="1">
      <c r="A10" s="782"/>
      <c r="B10" s="32" t="s">
        <v>19</v>
      </c>
      <c r="C10" s="237">
        <f>VLOOKUP(B10,INGREDIENTS!$A$6:$E$121,3,FALSE)</f>
        <v>8.5</v>
      </c>
      <c r="D10" s="34">
        <f>VLOOKUP(B10,INGREDIENTS!$A$6:$E$121,2,FALSE)</f>
        <v>0.81</v>
      </c>
      <c r="E10" s="35">
        <f>VLOOKUP(B10,INGREDIENTS!$A$6:$E$121,5,FALSE)</f>
        <v>5.7</v>
      </c>
      <c r="F10" s="26">
        <v>3750</v>
      </c>
      <c r="G10" s="150">
        <f t="shared" ref="G10:G18" si="0">F10/$F$20</f>
        <v>0.68908489525909589</v>
      </c>
      <c r="H10" s="360"/>
      <c r="I10" s="801" t="s">
        <v>714</v>
      </c>
      <c r="J10" s="801"/>
      <c r="K10" s="801"/>
      <c r="L10" s="801"/>
      <c r="M10" s="801"/>
      <c r="N10" s="801"/>
      <c r="O10" s="801"/>
    </row>
    <row r="11" spans="1:24" ht="43.5" customHeight="1">
      <c r="A11" s="782"/>
      <c r="B11" s="32" t="s">
        <v>26</v>
      </c>
      <c r="C11" s="237">
        <f>VLOOKUP(B11,INGREDIENTS!$A$6:$E$121,3,FALSE)</f>
        <v>5</v>
      </c>
      <c r="D11" s="34">
        <f>VLOOKUP(B11,INGREDIENTS!$A$6:$E$121,2,FALSE)</f>
        <v>0.7</v>
      </c>
      <c r="E11" s="35">
        <f>VLOOKUP(B11,INGREDIENTS!$A$6:$E$121,5,FALSE)</f>
        <v>5.2</v>
      </c>
      <c r="F11" s="26">
        <v>1317</v>
      </c>
      <c r="G11" s="150">
        <f t="shared" si="0"/>
        <v>0.24200661521499447</v>
      </c>
      <c r="H11" s="360"/>
      <c r="I11" s="786" t="s">
        <v>626</v>
      </c>
      <c r="J11" s="787"/>
      <c r="K11" s="790" t="s">
        <v>627</v>
      </c>
      <c r="L11" s="792">
        <v>13</v>
      </c>
      <c r="M11" s="793"/>
      <c r="N11" s="794"/>
      <c r="O11" s="796"/>
      <c r="Q11" s="798" t="s">
        <v>682</v>
      </c>
      <c r="R11" s="798"/>
    </row>
    <row r="12" spans="1:24" ht="15" customHeight="1" thickBot="1">
      <c r="A12" s="782"/>
      <c r="B12" s="32" t="s">
        <v>29</v>
      </c>
      <c r="C12" s="237">
        <f>VLOOKUP(B12,INGREDIENTS!$A$6:$E$121,3,FALSE)</f>
        <v>5</v>
      </c>
      <c r="D12" s="34">
        <f>VLOOKUP(B12,INGREDIENTS!$A$6:$E$121,2,FALSE)</f>
        <v>0.77</v>
      </c>
      <c r="E12" s="35">
        <f>VLOOKUP(B12,INGREDIENTS!$A$6:$E$121,5,FALSE)</f>
        <v>5.2</v>
      </c>
      <c r="F12" s="26">
        <v>375</v>
      </c>
      <c r="G12" s="150">
        <f t="shared" si="0"/>
        <v>6.8908489525909597E-2</v>
      </c>
      <c r="H12" s="360"/>
      <c r="I12" s="788"/>
      <c r="J12" s="789"/>
      <c r="K12" s="791"/>
      <c r="L12" s="799">
        <v>78</v>
      </c>
      <c r="M12" s="800"/>
      <c r="N12" s="795"/>
      <c r="O12" s="797"/>
      <c r="Q12" s="304" t="s">
        <v>870</v>
      </c>
    </row>
    <row r="13" spans="1:24" ht="14.45" customHeight="1" thickBot="1">
      <c r="A13" s="782"/>
      <c r="B13" s="32"/>
      <c r="C13" s="237"/>
      <c r="D13" s="34"/>
      <c r="E13" s="35"/>
      <c r="F13" s="26"/>
      <c r="G13" s="150">
        <f t="shared" si="0"/>
        <v>0</v>
      </c>
      <c r="H13" s="360"/>
      <c r="I13" s="784" t="s">
        <v>714</v>
      </c>
      <c r="J13" s="784"/>
      <c r="K13" s="369" t="s">
        <v>817</v>
      </c>
      <c r="L13" s="370"/>
      <c r="M13" s="371"/>
      <c r="N13" s="371"/>
      <c r="O13" s="362"/>
      <c r="Q13" s="304" t="s">
        <v>908</v>
      </c>
    </row>
    <row r="14" spans="1:24" ht="14.45" customHeight="1">
      <c r="A14" s="782"/>
      <c r="B14" s="32"/>
      <c r="C14" s="237"/>
      <c r="D14" s="34"/>
      <c r="E14" s="35"/>
      <c r="F14" s="26"/>
      <c r="G14" s="150">
        <f t="shared" si="0"/>
        <v>0</v>
      </c>
      <c r="H14" s="360"/>
      <c r="I14" s="802" t="s">
        <v>628</v>
      </c>
      <c r="J14" s="803"/>
      <c r="K14" s="205"/>
      <c r="L14" s="808" t="s">
        <v>737</v>
      </c>
      <c r="M14" s="809"/>
      <c r="N14" s="808" t="s">
        <v>630</v>
      </c>
      <c r="O14" s="810"/>
    </row>
    <row r="15" spans="1:24" ht="17.100000000000001" customHeight="1">
      <c r="A15" s="782"/>
      <c r="B15" s="32"/>
      <c r="C15" s="237"/>
      <c r="D15" s="34"/>
      <c r="E15" s="35"/>
      <c r="F15" s="26"/>
      <c r="G15" s="150">
        <f t="shared" si="0"/>
        <v>0</v>
      </c>
      <c r="H15" s="360"/>
      <c r="I15" s="804"/>
      <c r="J15" s="805"/>
      <c r="K15" s="38" t="s">
        <v>631</v>
      </c>
      <c r="L15" s="811">
        <v>1.05</v>
      </c>
      <c r="M15" s="812"/>
      <c r="N15" s="813">
        <v>1.0509999999999999</v>
      </c>
      <c r="O15" s="814"/>
    </row>
    <row r="16" spans="1:24" ht="17.100000000000001" customHeight="1" thickBot="1">
      <c r="A16" s="783"/>
      <c r="B16" s="32"/>
      <c r="C16" s="237" t="str">
        <f>IFERROR(VLOOKUP(B16,INGREDIENTS!$A$6:$E$121,3,FALSE),"")</f>
        <v/>
      </c>
      <c r="D16" s="34" t="str">
        <f>IFERROR(VLOOKUP(B16,INGREDIENTS!$A$6:$E$121,2,FALSE),"")</f>
        <v/>
      </c>
      <c r="E16" s="35" t="str">
        <f>IFERROR(VLOOKUP(B16,INGREDIENTS!$A$6:$E$121,5,FALSE),"")</f>
        <v/>
      </c>
      <c r="F16" s="43"/>
      <c r="G16" s="150">
        <f t="shared" si="0"/>
        <v>0</v>
      </c>
      <c r="H16" s="360"/>
      <c r="I16" s="804"/>
      <c r="J16" s="805"/>
      <c r="K16" s="38" t="s">
        <v>603</v>
      </c>
      <c r="L16" s="815">
        <v>27</v>
      </c>
      <c r="M16" s="816"/>
      <c r="N16" s="817">
        <v>27</v>
      </c>
      <c r="O16" s="818"/>
    </row>
    <row r="17" spans="1:24" ht="17.100000000000001" customHeight="1" thickTop="1" thickBot="1">
      <c r="A17" s="832" t="s">
        <v>637</v>
      </c>
      <c r="B17" s="116"/>
      <c r="C17" s="238" t="str">
        <f>IFERROR(VLOOKUP(B17,INGREDIENTS!$I$6:$L$24,3,FALSE),"")</f>
        <v/>
      </c>
      <c r="D17" s="241" t="str">
        <f>IFERROR(VLOOKUP(B17,INGREDIENTS!$I$6:$L$24,2,FALSE),"")</f>
        <v/>
      </c>
      <c r="E17" s="117" t="str">
        <f>IFERROR(VLOOKUP(B17,INGREDIENTS!$I$6:$L$24,5,FALSE),"")</f>
        <v/>
      </c>
      <c r="F17" s="118"/>
      <c r="G17" s="150">
        <f t="shared" si="0"/>
        <v>0</v>
      </c>
      <c r="H17" s="360"/>
      <c r="I17" s="804"/>
      <c r="J17" s="805"/>
      <c r="K17" s="834" t="s">
        <v>607</v>
      </c>
      <c r="L17" s="836">
        <f>(2.57452*(L15-1)*L16*1000)/(F20*D20)</f>
        <v>0.81814483951837924</v>
      </c>
      <c r="M17" s="837"/>
      <c r="N17" s="840">
        <f>(2.57452*(N15-1)*N16*1000)/(F20*D20)</f>
        <v>0.83450773630874509</v>
      </c>
      <c r="O17" s="841"/>
    </row>
    <row r="18" spans="1:24" ht="17.100000000000001" customHeight="1" thickTop="1" thickBot="1">
      <c r="A18" s="833"/>
      <c r="B18" s="166"/>
      <c r="C18" s="238" t="str">
        <f>IFERROR(VLOOKUP(B18,INGREDIENTS!$I$6:$L$24,3,FALSE),"")</f>
        <v/>
      </c>
      <c r="D18" s="241" t="str">
        <f>IFERROR(VLOOKUP(B18,INGREDIENTS!$I$6:$L$24,2,FALSE),"")</f>
        <v/>
      </c>
      <c r="E18" s="117" t="str">
        <f>IFERROR(VLOOKUP(B18,INGREDIENTS!$I$6:$L$24,5,FALSE),"")</f>
        <v/>
      </c>
      <c r="F18" s="118"/>
      <c r="G18" s="150">
        <f t="shared" si="0"/>
        <v>0</v>
      </c>
      <c r="H18" s="360"/>
      <c r="I18" s="806"/>
      <c r="J18" s="807"/>
      <c r="K18" s="835"/>
      <c r="L18" s="838"/>
      <c r="M18" s="839"/>
      <c r="N18" s="842"/>
      <c r="O18" s="843"/>
    </row>
    <row r="19" spans="1:24" ht="17.100000000000001" customHeight="1" thickBot="1">
      <c r="A19" s="167" t="s">
        <v>639</v>
      </c>
      <c r="B19" s="168" t="s">
        <v>640</v>
      </c>
      <c r="C19" s="216">
        <f>2.9396*((4.23*SUMPRODUCT(C10:C16,F10:F16)/1000)/L22)^0.6859</f>
        <v>11.286142562780768</v>
      </c>
      <c r="D19" s="169">
        <f>SUMPRODUCT(D10:D16,G10:G16)</f>
        <v>0.78062293274531425</v>
      </c>
      <c r="E19" s="300">
        <f>SUMPRODUCT(E10:E16,F10:F16)/$F$19</f>
        <v>5.5445424476295484</v>
      </c>
      <c r="F19" s="170">
        <f>SUM(F10:F16)</f>
        <v>5442</v>
      </c>
      <c r="G19" s="171">
        <f>SUM(G10:G16)</f>
        <v>0.99999999999999989</v>
      </c>
      <c r="H19" s="361"/>
      <c r="I19" s="784" t="s">
        <v>714</v>
      </c>
      <c r="J19" s="784"/>
      <c r="K19" s="362"/>
      <c r="L19" s="362"/>
      <c r="M19" s="362"/>
      <c r="N19" s="362"/>
      <c r="O19" s="362"/>
    </row>
    <row r="20" spans="1:24" ht="17.45" customHeight="1" thickBot="1">
      <c r="A20" s="151" t="s">
        <v>639</v>
      </c>
      <c r="B20" s="152" t="s">
        <v>641</v>
      </c>
      <c r="C20" s="153">
        <f>2.9396*((4.23*SUMPRODUCT(C10:C18,F10:F18)/1000)/L22)^0.6859</f>
        <v>11.286142562780768</v>
      </c>
      <c r="D20" s="154">
        <f>SUMPRODUCT(D10:D18,G10:G18)</f>
        <v>0.78062293274531425</v>
      </c>
      <c r="E20" s="301">
        <f>SUMPRODUCT(E10:E18,F10:F18)/$F$20</f>
        <v>5.5445424476295484</v>
      </c>
      <c r="F20" s="155">
        <f>SUM(F10:F18)</f>
        <v>5442</v>
      </c>
      <c r="G20" s="156">
        <f>SUM(G10:G18)</f>
        <v>0.99999999999999989</v>
      </c>
      <c r="H20" s="361"/>
      <c r="I20" s="844" t="s">
        <v>736</v>
      </c>
      <c r="J20" s="845"/>
      <c r="K20" s="181"/>
      <c r="L20" s="850" t="s">
        <v>737</v>
      </c>
      <c r="M20" s="851"/>
      <c r="N20" s="850" t="s">
        <v>630</v>
      </c>
      <c r="O20" s="852"/>
      <c r="Q20" s="819" t="s">
        <v>675</v>
      </c>
      <c r="R20" s="820"/>
      <c r="S20" s="821"/>
      <c r="U20" s="822" t="s">
        <v>912</v>
      </c>
      <c r="V20" s="823"/>
      <c r="W20" s="824"/>
    </row>
    <row r="21" spans="1:24" ht="18" customHeight="1" thickBot="1">
      <c r="A21" s="352"/>
      <c r="B21" s="352"/>
      <c r="C21" s="352"/>
      <c r="D21" s="352"/>
      <c r="E21" s="352"/>
      <c r="F21" s="352"/>
      <c r="G21" s="352"/>
      <c r="H21" s="352"/>
      <c r="I21" s="846"/>
      <c r="J21" s="847"/>
      <c r="K21" s="39" t="s">
        <v>631</v>
      </c>
      <c r="L21" s="825">
        <v>1.0549999999999999</v>
      </c>
      <c r="M21" s="826"/>
      <c r="N21" s="827">
        <v>1.0529999999999999</v>
      </c>
      <c r="O21" s="828"/>
      <c r="Q21" s="829" t="s">
        <v>676</v>
      </c>
      <c r="R21" s="830"/>
      <c r="S21" s="104"/>
      <c r="U21" s="831" t="s">
        <v>916</v>
      </c>
      <c r="V21" s="831"/>
      <c r="W21" s="315">
        <f>E19</f>
        <v>5.5445424476295484</v>
      </c>
    </row>
    <row r="22" spans="1:24" ht="15.6" customHeight="1">
      <c r="A22" s="853" t="s">
        <v>643</v>
      </c>
      <c r="B22" s="856" t="s">
        <v>1</v>
      </c>
      <c r="C22" s="857"/>
      <c r="D22" s="856" t="s">
        <v>588</v>
      </c>
      <c r="E22" s="878"/>
      <c r="F22" s="857"/>
      <c r="G22" s="347" t="s">
        <v>644</v>
      </c>
      <c r="H22" s="355"/>
      <c r="I22" s="846"/>
      <c r="J22" s="847"/>
      <c r="K22" s="40" t="s">
        <v>603</v>
      </c>
      <c r="L22" s="872">
        <v>24</v>
      </c>
      <c r="M22" s="873"/>
      <c r="N22" s="874">
        <v>25</v>
      </c>
      <c r="O22" s="875"/>
      <c r="Q22" s="829" t="s">
        <v>677</v>
      </c>
      <c r="R22" s="830"/>
      <c r="S22" s="115"/>
      <c r="U22" s="831" t="s">
        <v>913</v>
      </c>
      <c r="V22" s="831"/>
      <c r="W22" s="315">
        <v>5.8</v>
      </c>
    </row>
    <row r="23" spans="1:24" ht="14.45" customHeight="1">
      <c r="A23" s="854"/>
      <c r="B23" s="858"/>
      <c r="C23" s="859"/>
      <c r="D23" s="879"/>
      <c r="E23" s="880"/>
      <c r="F23" s="881"/>
      <c r="G23" s="348"/>
      <c r="H23" s="362"/>
      <c r="I23" s="846"/>
      <c r="J23" s="847"/>
      <c r="K23" s="243" t="s">
        <v>635</v>
      </c>
      <c r="L23" s="876">
        <f>(L16-L22)*100/L16</f>
        <v>11.111111111111111</v>
      </c>
      <c r="M23" s="877"/>
      <c r="N23" s="876">
        <f>(N16-N22)*100/N16</f>
        <v>7.4074074074074074</v>
      </c>
      <c r="O23" s="877"/>
      <c r="Q23" s="829" t="s">
        <v>678</v>
      </c>
      <c r="R23" s="830"/>
      <c r="S23" s="104"/>
      <c r="U23" s="860" t="s">
        <v>869</v>
      </c>
      <c r="V23" s="861"/>
      <c r="W23" s="315">
        <v>5.4</v>
      </c>
      <c r="X23" s="227" t="s">
        <v>867</v>
      </c>
    </row>
    <row r="24" spans="1:24" ht="14.45" customHeight="1" thickBot="1">
      <c r="A24" s="854"/>
      <c r="B24" s="858"/>
      <c r="C24" s="859"/>
      <c r="D24" s="858"/>
      <c r="E24" s="938"/>
      <c r="F24" s="938"/>
      <c r="G24" s="348"/>
      <c r="H24" s="362"/>
      <c r="I24" s="846"/>
      <c r="J24" s="847"/>
      <c r="K24" s="209" t="s">
        <v>636</v>
      </c>
      <c r="L24" s="210"/>
      <c r="M24" s="210"/>
      <c r="N24" s="211"/>
      <c r="O24" s="182">
        <f>((N15-1)*1000)*N16*2.57452-((N21-1)*1000)*N22*2.57452</f>
        <v>133.87503999999944</v>
      </c>
      <c r="Q24" s="829" t="s">
        <v>679</v>
      </c>
      <c r="R24" s="830"/>
      <c r="S24" s="50" t="s">
        <v>680</v>
      </c>
      <c r="U24" s="860" t="s">
        <v>915</v>
      </c>
      <c r="V24" s="861"/>
      <c r="W24" s="316">
        <v>20</v>
      </c>
      <c r="X24" s="227" t="s">
        <v>868</v>
      </c>
    </row>
    <row r="25" spans="1:24" ht="14.45" customHeight="1" thickBot="1">
      <c r="A25" s="855"/>
      <c r="B25" s="862"/>
      <c r="C25" s="863"/>
      <c r="D25" s="862"/>
      <c r="E25" s="939"/>
      <c r="F25" s="939"/>
      <c r="G25" s="349"/>
      <c r="H25" s="362"/>
      <c r="I25" s="846"/>
      <c r="J25" s="847"/>
      <c r="K25" s="40" t="s">
        <v>718</v>
      </c>
      <c r="L25" s="864">
        <v>10</v>
      </c>
      <c r="M25" s="865"/>
      <c r="N25" s="866">
        <v>85</v>
      </c>
      <c r="O25" s="867"/>
      <c r="Q25" s="829" t="s">
        <v>681</v>
      </c>
      <c r="R25" s="830"/>
      <c r="S25" s="131">
        <f>IF(S24="","",IF(S24="Sucre",(S23-S21)*1000*2.57452,IF(S24="DMS",(S23-S21)*1000*2.66,IF(S24="LMS",(S23-S21)*1000*3.24,IF(S24="Eau",1000*((S21-1)/(S23-1)*S22-S22)/S22)))))</f>
        <v>0</v>
      </c>
      <c r="U25" s="868" t="s">
        <v>914</v>
      </c>
      <c r="V25" s="869"/>
      <c r="W25" s="882">
        <v>0.8</v>
      </c>
    </row>
    <row r="26" spans="1:24" ht="14.45" customHeight="1" thickBot="1">
      <c r="A26" s="352"/>
      <c r="B26" s="352"/>
      <c r="C26" s="352"/>
      <c r="D26" s="352"/>
      <c r="E26" s="352"/>
      <c r="F26" s="352"/>
      <c r="G26" s="352"/>
      <c r="H26" s="352"/>
      <c r="I26" s="846"/>
      <c r="J26" s="847"/>
      <c r="K26" s="40" t="s">
        <v>716</v>
      </c>
      <c r="L26" s="864">
        <v>2</v>
      </c>
      <c r="M26" s="865"/>
      <c r="N26" s="866">
        <v>85</v>
      </c>
      <c r="O26" s="867"/>
      <c r="Q26" s="829" t="s">
        <v>681</v>
      </c>
      <c r="R26" s="830"/>
      <c r="S26" s="130">
        <f>S25*S22</f>
        <v>0</v>
      </c>
      <c r="U26" s="870"/>
      <c r="V26" s="871"/>
      <c r="W26" s="883"/>
    </row>
    <row r="27" spans="1:24" ht="30">
      <c r="A27" s="884" t="s">
        <v>649</v>
      </c>
      <c r="B27" s="157" t="s">
        <v>1</v>
      </c>
      <c r="C27" s="259" t="s">
        <v>650</v>
      </c>
      <c r="D27" s="157" t="s">
        <v>588</v>
      </c>
      <c r="E27" s="157" t="s">
        <v>647</v>
      </c>
      <c r="F27" s="157" t="s">
        <v>633</v>
      </c>
      <c r="G27" s="158" t="s">
        <v>651</v>
      </c>
      <c r="H27" s="355"/>
      <c r="I27" s="846"/>
      <c r="J27" s="847"/>
      <c r="K27" s="40" t="s">
        <v>717</v>
      </c>
      <c r="L27" s="864">
        <v>30</v>
      </c>
      <c r="M27" s="865"/>
      <c r="N27" s="866">
        <v>85</v>
      </c>
      <c r="O27" s="867"/>
      <c r="U27" s="860" t="s">
        <v>644</v>
      </c>
      <c r="V27" s="861"/>
      <c r="W27" s="317">
        <f>((POWER(10,-W23)-POWER(10,-W22))*W24)/(W25/100)/(1.206/1000)</f>
        <v>4.9672025561232473</v>
      </c>
    </row>
    <row r="28" spans="1:24" ht="14.45" customHeight="1" thickBot="1">
      <c r="A28" s="885"/>
      <c r="B28" s="137" t="s">
        <v>9</v>
      </c>
      <c r="C28" s="239">
        <f>IFERROR(VLOOKUP(B28,INGREDIENTS!$R$6:$U$151,4,FALSE), "")</f>
        <v>0.12</v>
      </c>
      <c r="D28" s="137" t="s">
        <v>2570</v>
      </c>
      <c r="E28" s="138">
        <v>30</v>
      </c>
      <c r="F28" s="139">
        <v>25</v>
      </c>
      <c r="G28" s="159">
        <f>IFERROR((VLOOKUP(D28,INGREDIENTS!$AA$6:$AB$14,2,FALSE))*((1.65*(0.000125^($L$31-1))*((1-EXP(-0.04*E28))/4.15))*C28*F28*1000)/($L$32),"")</f>
        <v>7.8577803126962955</v>
      </c>
      <c r="H28" s="363"/>
      <c r="I28" s="848"/>
      <c r="J28" s="849"/>
      <c r="K28" s="217" t="s">
        <v>718</v>
      </c>
      <c r="L28" s="887">
        <v>35</v>
      </c>
      <c r="M28" s="888"/>
      <c r="N28" s="889">
        <v>20</v>
      </c>
      <c r="O28" s="890"/>
    </row>
    <row r="29" spans="1:24" ht="14.45" customHeight="1" thickBot="1">
      <c r="A29" s="885"/>
      <c r="B29" s="137" t="s">
        <v>165</v>
      </c>
      <c r="C29" s="239">
        <f>IFERROR(VLOOKUP(B29,INGREDIENTS!$R$6:$U$151,4,FALSE), "")</f>
        <v>0.123</v>
      </c>
      <c r="D29" s="137" t="s">
        <v>2570</v>
      </c>
      <c r="E29" s="138">
        <v>30</v>
      </c>
      <c r="F29" s="139">
        <v>25</v>
      </c>
      <c r="G29" s="159">
        <f>IFERROR((VLOOKUP(D29,INGREDIENTS!$AA$6:$AB$14,2,FALSE))*((1.65*(0.000125^($L$31-1))*((1-EXP(-0.04*E29))/4.15))*C29*F29*1000)/($L$32),"")</f>
        <v>8.0542248205137046</v>
      </c>
      <c r="H29" s="363"/>
      <c r="I29" s="365" t="s">
        <v>714</v>
      </c>
      <c r="J29" s="366"/>
      <c r="K29" s="352"/>
      <c r="L29" s="352"/>
      <c r="M29" s="352"/>
      <c r="N29" s="352"/>
      <c r="O29" s="352"/>
    </row>
    <row r="30" spans="1:24" ht="15" customHeight="1">
      <c r="A30" s="885"/>
      <c r="B30" s="137" t="s">
        <v>193</v>
      </c>
      <c r="C30" s="239">
        <f>IFERROR(VLOOKUP(B30,INGREDIENTS!$R$6:$U$151,4,FALSE), "")</f>
        <v>0.13</v>
      </c>
      <c r="D30" s="137" t="s">
        <v>2570</v>
      </c>
      <c r="E30" s="138">
        <v>30</v>
      </c>
      <c r="F30" s="139">
        <v>25</v>
      </c>
      <c r="G30" s="159">
        <f>IFERROR((VLOOKUP(D30,INGREDIENTS!$AA$6:$AB$14,2,FALSE))*((1.65*(0.000125^($L$31-1))*((1-EXP(-0.04*E30))/4.15))*C30*F30*1000)/($L$32),"")</f>
        <v>8.5125953387543216</v>
      </c>
      <c r="H30" s="363"/>
      <c r="I30" s="891" t="s">
        <v>638</v>
      </c>
      <c r="J30" s="892"/>
      <c r="K30" s="179"/>
      <c r="L30" s="897" t="s">
        <v>737</v>
      </c>
      <c r="M30" s="898"/>
      <c r="N30" s="180" t="s">
        <v>630</v>
      </c>
      <c r="O30" s="207"/>
      <c r="S30" s="32" t="s">
        <v>19</v>
      </c>
    </row>
    <row r="31" spans="1:24" ht="15.6" customHeight="1">
      <c r="A31" s="885"/>
      <c r="B31" s="137"/>
      <c r="C31" s="239" t="str">
        <f>IFERROR(VLOOKUP(B31,INGREDIENTS!$R$6:$U$151,4,FALSE), "")</f>
        <v/>
      </c>
      <c r="D31" s="137"/>
      <c r="E31" s="138"/>
      <c r="F31" s="139"/>
      <c r="G31" s="159" t="str">
        <f>IFERROR((VLOOKUP(D31,INGREDIENTS!$AA$6:$AB$14,2,FALSE))*((1.65*(0.000125^($L$31-1))*((1-EXP(-0.04*E31))/4.15))*C31*F31*1000)/($L$32),"")</f>
        <v/>
      </c>
      <c r="H31" s="363"/>
      <c r="I31" s="893"/>
      <c r="J31" s="894"/>
      <c r="K31" s="49" t="s">
        <v>604</v>
      </c>
      <c r="L31" s="899">
        <v>1.0549999999999999</v>
      </c>
      <c r="M31" s="900"/>
      <c r="N31" s="901">
        <v>1.0549999999999999</v>
      </c>
      <c r="O31" s="902"/>
      <c r="S31" s="32" t="s">
        <v>26</v>
      </c>
    </row>
    <row r="32" spans="1:24" ht="15.6" customHeight="1">
      <c r="A32" s="885"/>
      <c r="B32" s="137" t="s">
        <v>9</v>
      </c>
      <c r="C32" s="239">
        <f>IFERROR(VLOOKUP(B32,INGREDIENTS!$R$6:$U$151,4,FALSE), "")</f>
        <v>0.12</v>
      </c>
      <c r="D32" s="137" t="s">
        <v>598</v>
      </c>
      <c r="E32" s="138" t="s">
        <v>755</v>
      </c>
      <c r="F32" s="139">
        <v>30</v>
      </c>
      <c r="G32" s="159" t="str">
        <f>IFERROR((VLOOKUP(D32,INGREDIENTS!$AA$6:$AB$14,2,FALSE))*((1.65*(0.000125^($L$31-1))*((1-EXP(-0.04*E32))/4.15))*C32*F32*1000)/($L$32),"")</f>
        <v/>
      </c>
      <c r="H32" s="363"/>
      <c r="I32" s="893"/>
      <c r="J32" s="894"/>
      <c r="K32" s="49" t="s">
        <v>603</v>
      </c>
      <c r="L32" s="903">
        <v>22</v>
      </c>
      <c r="M32" s="904"/>
      <c r="N32" s="905">
        <v>20</v>
      </c>
      <c r="O32" s="906"/>
      <c r="S32" s="32" t="s">
        <v>29</v>
      </c>
    </row>
    <row r="33" spans="1:20" ht="17.100000000000001" customHeight="1">
      <c r="A33" s="885"/>
      <c r="B33" s="137" t="s">
        <v>165</v>
      </c>
      <c r="C33" s="239">
        <f>IFERROR(VLOOKUP(B33,INGREDIENTS!$R$6:$U$151,4,FALSE), "")</f>
        <v>0.123</v>
      </c>
      <c r="D33" s="137" t="s">
        <v>598</v>
      </c>
      <c r="E33" s="138" t="s">
        <v>755</v>
      </c>
      <c r="F33" s="139">
        <v>30</v>
      </c>
      <c r="G33" s="159" t="str">
        <f>IFERROR((VLOOKUP(D33,INGREDIENTS!$AA$6:$AB$14,2,FALSE))*((1.65*(0.000125^($L$31-1))*((1-EXP(-0.04*E33))/4.15))*C33*F33*1000)/($L$32),"")</f>
        <v/>
      </c>
      <c r="H33" s="363"/>
      <c r="I33" s="893"/>
      <c r="J33" s="894"/>
      <c r="K33" s="907" t="s">
        <v>642</v>
      </c>
      <c r="L33" s="909">
        <v>0.6952285714285712</v>
      </c>
      <c r="M33" s="910"/>
      <c r="N33" s="909">
        <f>(2.57452*N32*(N31-1)*1000)/(D20*F20)</f>
        <v>0.66663653590386329</v>
      </c>
      <c r="O33" s="913"/>
      <c r="S33" s="32"/>
    </row>
    <row r="34" spans="1:20" ht="17.100000000000001" customHeight="1" thickBot="1">
      <c r="A34" s="885"/>
      <c r="B34" s="137" t="s">
        <v>193</v>
      </c>
      <c r="C34" s="239">
        <f>IFERROR(VLOOKUP(B34,INGREDIENTS!$R$6:$U$151,4,FALSE), "")</f>
        <v>0.13</v>
      </c>
      <c r="D34" s="137" t="s">
        <v>598</v>
      </c>
      <c r="E34" s="138" t="s">
        <v>755</v>
      </c>
      <c r="F34" s="139">
        <v>30</v>
      </c>
      <c r="G34" s="159" t="str">
        <f>IFERROR((VLOOKUP(D34,INGREDIENTS!$AA$6:$AB$14,2,FALSE))*((1.65*(0.000125^($L$31-1))*((1-EXP(-0.04*E34))/4.15))*C34*F34*1000)/($L$32),"")</f>
        <v/>
      </c>
      <c r="H34" s="363"/>
      <c r="I34" s="895"/>
      <c r="J34" s="896"/>
      <c r="K34" s="908"/>
      <c r="L34" s="911"/>
      <c r="M34" s="912"/>
      <c r="N34" s="911"/>
      <c r="O34" s="914"/>
      <c r="S34" s="32"/>
    </row>
    <row r="35" spans="1:20" ht="17.100000000000001" customHeight="1" thickBot="1">
      <c r="A35" s="885"/>
      <c r="B35" s="137"/>
      <c r="C35" s="239" t="str">
        <f>IFERROR(VLOOKUP(B35,INGREDIENTS!$R$6:$U$151,4,FALSE), "")</f>
        <v/>
      </c>
      <c r="D35" s="137"/>
      <c r="E35" s="138"/>
      <c r="F35" s="139"/>
      <c r="G35" s="159" t="str">
        <f>IFERROR((VLOOKUP(D35,INGREDIENTS!$AA$6:$AB$14,2,FALSE))*((1.65*(0.000125^($L$31-1))*((1-EXP(-0.04*E35))/4.15))*C35*F35*1000)/($L$32),"")</f>
        <v/>
      </c>
      <c r="H35" s="363"/>
      <c r="I35" s="784" t="s">
        <v>714</v>
      </c>
      <c r="J35" s="784"/>
      <c r="K35" s="362"/>
      <c r="L35" s="362"/>
      <c r="M35" s="362"/>
      <c r="N35" s="362"/>
      <c r="O35" s="362"/>
      <c r="S35" s="32"/>
    </row>
    <row r="36" spans="1:20" ht="14.45" customHeight="1">
      <c r="A36" s="885"/>
      <c r="B36" s="137" t="s">
        <v>9</v>
      </c>
      <c r="C36" s="239">
        <f>IFERROR(VLOOKUP(B36,INGREDIENTS!$R$6:$U$151,4,FALSE), "")</f>
        <v>0.12</v>
      </c>
      <c r="D36" s="137" t="s">
        <v>672</v>
      </c>
      <c r="E36" s="138" t="s">
        <v>753</v>
      </c>
      <c r="F36" s="139">
        <v>20</v>
      </c>
      <c r="G36" s="159" t="str">
        <f>IFERROR((VLOOKUP(D36,INGREDIENTS!$AA$6:$AB$14,2,FALSE))*((1.65*(0.000125^($L$31-1))*((1-EXP(-0.04*E36))/4.15))*C36*F36*1000)/($L$32),"")</f>
        <v/>
      </c>
      <c r="H36" s="363"/>
      <c r="I36" s="917" t="s">
        <v>645</v>
      </c>
      <c r="J36" s="918"/>
      <c r="K36" s="923" t="s">
        <v>674</v>
      </c>
      <c r="L36" s="183" t="s">
        <v>646</v>
      </c>
      <c r="M36" s="184" t="s">
        <v>647</v>
      </c>
      <c r="N36" s="185" t="s">
        <v>605</v>
      </c>
      <c r="O36" s="186" t="s">
        <v>648</v>
      </c>
      <c r="S36" s="32"/>
    </row>
    <row r="37" spans="1:20" ht="14.45" customHeight="1">
      <c r="A37" s="885"/>
      <c r="B37" s="137" t="s">
        <v>165</v>
      </c>
      <c r="C37" s="239">
        <f>IFERROR(VLOOKUP(B37,INGREDIENTS!$R$6:$U$151,4,FALSE), "")</f>
        <v>0.123</v>
      </c>
      <c r="D37" s="137" t="s">
        <v>672</v>
      </c>
      <c r="E37" s="138" t="s">
        <v>753</v>
      </c>
      <c r="F37" s="139">
        <v>20</v>
      </c>
      <c r="G37" s="159" t="str">
        <f>IFERROR((VLOOKUP(D37,INGREDIENTS!$AA$6:$AB$14,2,FALSE))*((1.65*(0.000125^($L$31-1))*((1-EXP(-0.04*E37))/4.15))*C37*F37*1000)/($L$32),"")</f>
        <v/>
      </c>
      <c r="H37" s="363"/>
      <c r="I37" s="919"/>
      <c r="J37" s="920"/>
      <c r="K37" s="924"/>
      <c r="L37" s="44">
        <v>20</v>
      </c>
      <c r="M37" s="45">
        <v>20</v>
      </c>
      <c r="N37" s="46">
        <v>45781</v>
      </c>
      <c r="O37" s="187">
        <f>N37+M37</f>
        <v>45801</v>
      </c>
    </row>
    <row r="38" spans="1:20" ht="14.45" customHeight="1">
      <c r="A38" s="885"/>
      <c r="B38" s="137" t="s">
        <v>193</v>
      </c>
      <c r="C38" s="239">
        <f>IFERROR(VLOOKUP(B38,INGREDIENTS!$R$6:$U$151,4,FALSE), "")</f>
        <v>0.13</v>
      </c>
      <c r="D38" s="137" t="s">
        <v>672</v>
      </c>
      <c r="E38" s="138" t="s">
        <v>754</v>
      </c>
      <c r="F38" s="139">
        <v>20</v>
      </c>
      <c r="G38" s="159" t="str">
        <f>IFERROR((VLOOKUP(D38,INGREDIENTS!$AA$6:$AB$14,2,FALSE))*((1.65*(0.000125^($L$31-1))*((1-EXP(-0.04*E38))/4.15))*C38*F38*1000)/($L$32),"")</f>
        <v/>
      </c>
      <c r="H38" s="363"/>
      <c r="I38" s="919"/>
      <c r="J38" s="920"/>
      <c r="K38" s="924"/>
      <c r="L38" s="33" t="s">
        <v>667</v>
      </c>
      <c r="M38" s="260" t="s">
        <v>807</v>
      </c>
      <c r="N38" s="46"/>
      <c r="O38" s="187"/>
    </row>
    <row r="39" spans="1:20" ht="14.45" customHeight="1">
      <c r="A39" s="885"/>
      <c r="B39" s="137"/>
      <c r="C39" s="239" t="str">
        <f>IFERROR(VLOOKUP(B39,INGREDIENTS!$R$6:$U$151,4,FALSE), "")</f>
        <v/>
      </c>
      <c r="D39" s="137"/>
      <c r="E39" s="138"/>
      <c r="F39" s="139"/>
      <c r="G39" s="159" t="str">
        <f>IFERROR((VLOOKUP(D39,INGREDIENTS!$AA$6:$AB$14,2,FALSE))*((1.65*(0.000125^($L$31-1))*((1-EXP(-0.04*E39))/4.15))*C39*F39*1000)/($L$32),"")</f>
        <v/>
      </c>
      <c r="H39" s="363"/>
      <c r="I39" s="919"/>
      <c r="J39" s="920"/>
      <c r="K39" s="924"/>
      <c r="L39" s="33" t="s">
        <v>668</v>
      </c>
      <c r="M39" s="45" t="s">
        <v>671</v>
      </c>
      <c r="N39" s="46">
        <f>N37+3</f>
        <v>45784</v>
      </c>
      <c r="O39" s="187"/>
    </row>
    <row r="40" spans="1:20" ht="17.45" customHeight="1">
      <c r="A40" s="885"/>
      <c r="B40" s="137"/>
      <c r="C40" s="239" t="str">
        <f>IFERROR(VLOOKUP(B40,INGREDIENTS!$R$6:$U$151,4,FALSE), "")</f>
        <v/>
      </c>
      <c r="D40" s="137"/>
      <c r="E40" s="138"/>
      <c r="F40" s="139"/>
      <c r="G40" s="159" t="str">
        <f>IFERROR((VLOOKUP(D40,INGREDIENTS!$AA$6:$AB$14,2,FALSE))*((1.65*(0.000125^($L$31-1))*((1-EXP(-0.04*E40))/4.15))*C40*F40*1000)/($L$32),"")</f>
        <v/>
      </c>
      <c r="H40" s="364"/>
      <c r="I40" s="919"/>
      <c r="J40" s="920"/>
      <c r="K40" s="924"/>
      <c r="L40" s="33" t="s">
        <v>669</v>
      </c>
      <c r="M40" s="45" t="s">
        <v>672</v>
      </c>
      <c r="N40" s="46">
        <f>N37+12</f>
        <v>45793</v>
      </c>
      <c r="O40" s="187"/>
    </row>
    <row r="41" spans="1:20" ht="14.45" customHeight="1">
      <c r="A41" s="885"/>
      <c r="B41" s="137"/>
      <c r="C41" s="239" t="str">
        <f>IFERROR(VLOOKUP(B41,INGREDIENTS!$R$6:$U$151,4,FALSE), "")</f>
        <v/>
      </c>
      <c r="D41" s="137"/>
      <c r="E41" s="138"/>
      <c r="F41" s="139"/>
      <c r="G41" s="159" t="str">
        <f>IFERROR((VLOOKUP(D41,INGREDIENTS!$AA$6:$AB$14,2,FALSE))*((1.65*(0.000125^($L$31-1))*((1-EXP(-0.04*E41))/4.15))*C41*F41*1000)/($L$32),"")</f>
        <v/>
      </c>
      <c r="H41" s="362"/>
      <c r="I41" s="919"/>
      <c r="J41" s="920"/>
      <c r="K41" s="924"/>
      <c r="L41" s="33" t="s">
        <v>670</v>
      </c>
      <c r="M41" s="45" t="s">
        <v>673</v>
      </c>
      <c r="N41" s="46">
        <v>45796</v>
      </c>
      <c r="O41" s="187"/>
    </row>
    <row r="42" spans="1:20" ht="14.45" customHeight="1">
      <c r="A42" s="885"/>
      <c r="B42" s="137"/>
      <c r="C42" s="239" t="str">
        <f>IFERROR(VLOOKUP(B42,INGREDIENTS!$R$6:$U$151,4,FALSE), "")</f>
        <v/>
      </c>
      <c r="D42" s="137"/>
      <c r="E42" s="138"/>
      <c r="F42" s="139"/>
      <c r="G42" s="159" t="str">
        <f>IFERROR((VLOOKUP(D42,INGREDIENTS!$AA$6:$AB$14,2,FALSE))*((1.65*(0.000125^($L$31-1))*((1-EXP(-0.04*E42))/4.15))*C42*F42*1000)/($L$32),"")</f>
        <v/>
      </c>
      <c r="H42" s="361"/>
      <c r="I42" s="919"/>
      <c r="J42" s="920"/>
      <c r="K42" s="925"/>
      <c r="L42" s="33" t="s">
        <v>723</v>
      </c>
      <c r="M42" s="45"/>
      <c r="N42" s="46">
        <f>N37+20</f>
        <v>45801</v>
      </c>
      <c r="O42" s="187"/>
    </row>
    <row r="43" spans="1:20" ht="14.45" customHeight="1" thickBot="1">
      <c r="A43" s="886"/>
      <c r="B43" s="137"/>
      <c r="C43" s="239" t="str">
        <f>IFERROR(VLOOKUP(B43,INGREDIENTS!$R$6:$U$151,4,FALSE), "")</f>
        <v/>
      </c>
      <c r="D43" s="137"/>
      <c r="E43" s="138"/>
      <c r="F43" s="139"/>
      <c r="G43" s="159" t="str">
        <f>IFERROR((VLOOKUP(D43,INGREDIENTS!$AA$6:$AB$14,2,FALSE))*((1.65*(0.000125^($L$31-1))*((1-EXP(-0.04*E43))/4.15))*C43*F43*1000)/($L$32),"")</f>
        <v/>
      </c>
      <c r="H43" s="360"/>
      <c r="I43" s="919"/>
      <c r="J43" s="920"/>
      <c r="K43" s="926" t="s">
        <v>652</v>
      </c>
      <c r="L43" s="927"/>
      <c r="M43" s="927"/>
      <c r="N43" s="927"/>
      <c r="O43" s="928"/>
    </row>
    <row r="44" spans="1:20" ht="14.45" customHeight="1" thickBot="1">
      <c r="A44" s="160"/>
      <c r="B44" s="161" t="s">
        <v>656</v>
      </c>
      <c r="C44" s="162"/>
      <c r="D44" s="162"/>
      <c r="E44" s="163"/>
      <c r="F44" s="164">
        <f>SUM(F28:F43)</f>
        <v>225</v>
      </c>
      <c r="G44" s="165">
        <f>SUM(G28:G43)</f>
        <v>24.424600471964322</v>
      </c>
      <c r="H44" s="360"/>
      <c r="I44" s="919"/>
      <c r="J44" s="920"/>
      <c r="K44" s="929" t="s">
        <v>605</v>
      </c>
      <c r="L44" s="42" t="s">
        <v>631</v>
      </c>
      <c r="M44" s="42" t="s">
        <v>653</v>
      </c>
      <c r="N44" s="42"/>
      <c r="O44" s="188" t="s">
        <v>654</v>
      </c>
      <c r="Q44" s="991" t="s">
        <v>1855</v>
      </c>
      <c r="R44" s="991"/>
      <c r="S44" s="991"/>
      <c r="T44" s="991"/>
    </row>
    <row r="45" spans="1:20" ht="14.45" customHeight="1">
      <c r="A45" s="352"/>
      <c r="B45" s="352"/>
      <c r="C45" s="352"/>
      <c r="D45" s="352"/>
      <c r="E45" s="352"/>
      <c r="F45" s="352"/>
      <c r="G45" s="352"/>
      <c r="H45" s="360"/>
      <c r="I45" s="919"/>
      <c r="J45" s="920"/>
      <c r="K45" s="924"/>
      <c r="L45" s="195"/>
      <c r="M45" s="119" t="s">
        <v>623</v>
      </c>
      <c r="N45" s="120" t="s">
        <v>623</v>
      </c>
      <c r="O45" s="189" t="s">
        <v>623</v>
      </c>
      <c r="Q45" s="991"/>
      <c r="R45" s="991"/>
      <c r="S45" s="991"/>
      <c r="T45" s="991"/>
    </row>
    <row r="46" spans="1:20" ht="18.600000000000001" customHeight="1">
      <c r="A46" s="931" t="s">
        <v>657</v>
      </c>
      <c r="B46" s="196" t="s">
        <v>1</v>
      </c>
      <c r="C46" s="2" t="s">
        <v>752</v>
      </c>
      <c r="D46" s="196" t="s">
        <v>69</v>
      </c>
      <c r="E46" s="196" t="s">
        <v>70</v>
      </c>
      <c r="F46" s="934" t="s">
        <v>658</v>
      </c>
      <c r="G46" s="935"/>
      <c r="H46" s="360"/>
      <c r="I46" s="919"/>
      <c r="J46" s="920"/>
      <c r="K46" s="924"/>
      <c r="L46" s="48"/>
      <c r="M46" s="119" t="s">
        <v>623</v>
      </c>
      <c r="N46" s="120" t="s">
        <v>623</v>
      </c>
      <c r="O46" s="189" t="s">
        <v>623</v>
      </c>
      <c r="Q46" s="991"/>
      <c r="R46" s="991"/>
      <c r="S46" s="991"/>
      <c r="T46" s="991"/>
    </row>
    <row r="47" spans="1:20" ht="14.45" customHeight="1">
      <c r="A47" s="932"/>
      <c r="B47" s="3" t="s">
        <v>824</v>
      </c>
      <c r="C47" s="293" t="s">
        <v>735</v>
      </c>
      <c r="D47" s="240" t="str">
        <f>IFERROR(VLOOKUP(B47,INGREDIENTS!$AF$6:$AT$37,7,FALSE),"")</f>
        <v/>
      </c>
      <c r="E47" s="240" t="str">
        <f>IFERROR(VLOOKUP(B47,INGREDIENTS!$AF$6:$AT$37,8,FALSE),"")</f>
        <v/>
      </c>
      <c r="F47" s="936" t="str">
        <f>IFERROR(VLOOKUP(B47,INGREDIENTS!$AF$6:$AT$37,6,FALSE),"")</f>
        <v/>
      </c>
      <c r="G47" s="937"/>
      <c r="H47" s="352"/>
      <c r="I47" s="919"/>
      <c r="J47" s="920"/>
      <c r="K47" s="924"/>
      <c r="L47" s="48"/>
      <c r="M47" s="119" t="s">
        <v>623</v>
      </c>
      <c r="N47" s="120" t="s">
        <v>623</v>
      </c>
      <c r="O47" s="189" t="s">
        <v>623</v>
      </c>
      <c r="Q47" s="991"/>
      <c r="R47" s="991"/>
      <c r="S47" s="991"/>
      <c r="T47" s="991"/>
    </row>
    <row r="48" spans="1:20" ht="14.45" customHeight="1">
      <c r="A48" s="932"/>
      <c r="B48" s="3"/>
      <c r="C48" s="293"/>
      <c r="D48" s="240" t="str">
        <f>IFERROR(VLOOKUP(B48,INGREDIENTS!$AF$6:$AT$37,7,FALSE),"")</f>
        <v/>
      </c>
      <c r="E48" s="240" t="str">
        <f>IFERROR(VLOOKUP(B48,INGREDIENTS!$AF$6:$AT$37,8,FALSE),"")</f>
        <v/>
      </c>
      <c r="F48" s="936" t="str">
        <f>IFERROR(VLOOKUP(B48,INGREDIENTS!$AF$6:$AT$37,5,FALSE),"")</f>
        <v/>
      </c>
      <c r="G48" s="937"/>
      <c r="H48" s="352"/>
      <c r="I48" s="919"/>
      <c r="J48" s="920"/>
      <c r="K48" s="924"/>
      <c r="L48" s="48"/>
      <c r="M48" s="119" t="s">
        <v>623</v>
      </c>
      <c r="N48" s="120" t="s">
        <v>623</v>
      </c>
      <c r="O48" s="189" t="s">
        <v>623</v>
      </c>
      <c r="Q48" s="991"/>
      <c r="R48" s="991"/>
      <c r="S48" s="991"/>
      <c r="T48" s="991"/>
    </row>
    <row r="49" spans="1:20" ht="14.45" customHeight="1" thickBot="1">
      <c r="A49" s="932"/>
      <c r="B49" s="3"/>
      <c r="C49" s="293"/>
      <c r="D49" s="240" t="str">
        <f>IFERROR(VLOOKUP(B49,INGREDIENTS!$AF$6:$AT$37,7,FALSE),"")</f>
        <v/>
      </c>
      <c r="E49" s="240" t="str">
        <f>IFERROR(VLOOKUP(B49,INGREDIENTS!$AF$6:$AT$37,8,FALSE),"")</f>
        <v/>
      </c>
      <c r="F49" s="936" t="str">
        <f>IFERROR(VLOOKUP(B49,INGREDIENTS!$AF$6:$AT$37,5,FALSE),"")</f>
        <v/>
      </c>
      <c r="G49" s="937"/>
      <c r="H49" s="352"/>
      <c r="I49" s="921"/>
      <c r="J49" s="922"/>
      <c r="K49" s="930"/>
      <c r="L49" s="190"/>
      <c r="M49" s="191"/>
      <c r="N49" s="192" t="s">
        <v>623</v>
      </c>
      <c r="O49" s="193" t="s">
        <v>623</v>
      </c>
      <c r="Q49" s="991"/>
      <c r="R49" s="991"/>
      <c r="S49" s="991"/>
      <c r="T49" s="991"/>
    </row>
    <row r="50" spans="1:20" ht="15" customHeight="1" thickBot="1">
      <c r="A50" s="933"/>
      <c r="B50" s="3"/>
      <c r="C50" s="293"/>
      <c r="D50" s="240" t="str">
        <f>IFERROR(VLOOKUP(B50,INGREDIENTS!$AF$6:$AT$37,7,FALSE),"")</f>
        <v/>
      </c>
      <c r="E50" s="240" t="str">
        <f>IFERROR(VLOOKUP(B50,INGREDIENTS!$AF$6:$AT$37,8,FALSE),"")</f>
        <v/>
      </c>
      <c r="F50" s="936" t="str">
        <f>IFERROR(VLOOKUP(B50,INGREDIENTS!$AF$6:$AT$37,5,FALSE),"")</f>
        <v/>
      </c>
      <c r="G50" s="937"/>
      <c r="H50" s="352"/>
      <c r="I50" s="784" t="s">
        <v>714</v>
      </c>
      <c r="J50" s="784"/>
      <c r="K50" s="352"/>
      <c r="L50" s="352"/>
      <c r="M50" s="352"/>
      <c r="N50" s="352"/>
      <c r="O50" s="352"/>
      <c r="Q50" s="991"/>
      <c r="R50" s="991"/>
      <c r="S50" s="991"/>
      <c r="T50" s="991"/>
    </row>
    <row r="51" spans="1:20" ht="14.45" customHeight="1">
      <c r="A51" s="352"/>
      <c r="B51" s="352"/>
      <c r="C51" s="352"/>
      <c r="D51" s="352"/>
      <c r="E51" s="352"/>
      <c r="F51" s="352"/>
      <c r="G51" s="352"/>
      <c r="H51" s="352"/>
      <c r="I51" s="960" t="s">
        <v>655</v>
      </c>
      <c r="J51" s="961"/>
      <c r="K51" s="194">
        <v>43857</v>
      </c>
      <c r="L51" s="966" t="s">
        <v>629</v>
      </c>
      <c r="M51" s="967"/>
      <c r="N51" s="966" t="s">
        <v>630</v>
      </c>
      <c r="O51" s="968"/>
    </row>
    <row r="52" spans="1:20" ht="14.45" customHeight="1">
      <c r="A52" s="352"/>
      <c r="B52" s="352"/>
      <c r="C52" s="352"/>
      <c r="D52" s="352"/>
      <c r="E52" s="352"/>
      <c r="F52" s="352"/>
      <c r="G52" s="352"/>
      <c r="H52" s="352"/>
      <c r="I52" s="962"/>
      <c r="J52" s="963"/>
      <c r="K52" s="208" t="s">
        <v>603</v>
      </c>
      <c r="L52" s="969">
        <v>20</v>
      </c>
      <c r="M52" s="970"/>
      <c r="N52" s="971">
        <v>19</v>
      </c>
      <c r="O52" s="972"/>
    </row>
    <row r="53" spans="1:20" ht="14.45" customHeight="1">
      <c r="A53" s="352"/>
      <c r="B53" s="352"/>
      <c r="C53" s="352"/>
      <c r="D53" s="352"/>
      <c r="E53" s="352"/>
      <c r="F53" s="352"/>
      <c r="G53" s="352"/>
      <c r="H53" s="352"/>
      <c r="I53" s="962"/>
      <c r="J53" s="963"/>
      <c r="K53" s="212" t="s">
        <v>606</v>
      </c>
      <c r="L53" s="973">
        <v>1.014</v>
      </c>
      <c r="M53" s="974"/>
      <c r="N53" s="975">
        <v>1.012</v>
      </c>
      <c r="O53" s="976"/>
    </row>
    <row r="54" spans="1:20" ht="14.45" customHeight="1">
      <c r="A54" s="352"/>
      <c r="B54" s="352"/>
      <c r="C54" s="352"/>
      <c r="D54" s="352"/>
      <c r="E54" s="352"/>
      <c r="F54" s="352"/>
      <c r="G54" s="352"/>
      <c r="H54" s="352"/>
      <c r="I54" s="962"/>
      <c r="J54" s="963"/>
      <c r="K54" s="208" t="s">
        <v>653</v>
      </c>
      <c r="L54" s="915" t="str">
        <f>F47</f>
        <v/>
      </c>
      <c r="M54" s="916"/>
      <c r="N54" s="915">
        <f>(N31-L53)/(N31-1)</f>
        <v>0.74545454545454493</v>
      </c>
      <c r="O54" s="952"/>
    </row>
    <row r="55" spans="1:20" ht="14.45" customHeight="1">
      <c r="A55" s="352"/>
      <c r="B55" s="352"/>
      <c r="C55" s="352"/>
      <c r="D55" s="352"/>
      <c r="E55" s="352"/>
      <c r="F55" s="352"/>
      <c r="G55" s="352"/>
      <c r="H55" s="352"/>
      <c r="I55" s="962"/>
      <c r="J55" s="963"/>
      <c r="K55" s="208" t="s">
        <v>659</v>
      </c>
      <c r="L55" s="953">
        <f>(76.08*(L31-L53)/(1.775-L31))*(L53/0.794)</f>
        <v>5.5327279596977235</v>
      </c>
      <c r="M55" s="954"/>
      <c r="N55" s="953">
        <f>(76.08*(N31-N53)/(1.775-N31))*(N53/0.794)</f>
        <v>5.7911721242653131</v>
      </c>
      <c r="O55" s="977"/>
    </row>
    <row r="56" spans="1:20" ht="14.45" customHeight="1">
      <c r="A56" s="352"/>
      <c r="B56" s="352"/>
      <c r="C56" s="352"/>
      <c r="D56" s="352"/>
      <c r="E56" s="352"/>
      <c r="F56" s="352"/>
      <c r="G56" s="352"/>
      <c r="H56" s="352"/>
      <c r="I56" s="962"/>
      <c r="J56" s="963"/>
      <c r="K56" s="41" t="s">
        <v>660</v>
      </c>
      <c r="L56" s="955" t="s">
        <v>809</v>
      </c>
      <c r="M56" s="956"/>
      <c r="N56" s="955">
        <v>2.5</v>
      </c>
      <c r="O56" s="957"/>
    </row>
    <row r="57" spans="1:20" ht="14.45" customHeight="1">
      <c r="A57" s="352"/>
      <c r="B57" s="352"/>
      <c r="C57" s="352"/>
      <c r="D57" s="352"/>
      <c r="E57" s="352"/>
      <c r="F57" s="352"/>
      <c r="G57" s="352"/>
      <c r="H57" s="352"/>
      <c r="I57" s="962"/>
      <c r="J57" s="963"/>
      <c r="K57" s="958" t="s">
        <v>661</v>
      </c>
      <c r="L57" s="959"/>
      <c r="M57" s="958" t="s">
        <v>662</v>
      </c>
      <c r="N57" s="959"/>
      <c r="O57" s="219" t="s">
        <v>1858</v>
      </c>
    </row>
    <row r="58" spans="1:20" ht="14.45" customHeight="1" thickBot="1">
      <c r="A58" s="352"/>
      <c r="B58" s="352"/>
      <c r="C58" s="352"/>
      <c r="D58" s="352"/>
      <c r="E58" s="352"/>
      <c r="F58" s="352"/>
      <c r="G58" s="352"/>
      <c r="H58" s="352"/>
      <c r="I58" s="962"/>
      <c r="J58" s="963"/>
      <c r="K58" s="940">
        <v>5.5</v>
      </c>
      <c r="L58" s="941"/>
      <c r="M58" s="942">
        <f>L52*K58</f>
        <v>110</v>
      </c>
      <c r="N58" s="943"/>
      <c r="O58" s="234">
        <v>1</v>
      </c>
    </row>
    <row r="59" spans="1:20">
      <c r="A59" s="352"/>
      <c r="B59" s="352"/>
      <c r="C59" s="352"/>
      <c r="D59" s="352"/>
      <c r="E59" s="352"/>
      <c r="F59" s="352"/>
      <c r="G59" s="352"/>
      <c r="H59" s="352"/>
      <c r="I59" s="962"/>
      <c r="J59" s="963"/>
      <c r="K59" s="944" t="s">
        <v>722</v>
      </c>
      <c r="L59" s="944"/>
      <c r="M59" s="945"/>
      <c r="N59" s="230" t="s">
        <v>719</v>
      </c>
      <c r="O59" s="231">
        <f>K58*0.75*1000/(M58/O58)</f>
        <v>37.5</v>
      </c>
    </row>
    <row r="60" spans="1:20" ht="15" customHeight="1" thickBot="1">
      <c r="A60" s="352"/>
      <c r="B60" s="352"/>
      <c r="C60" s="352"/>
      <c r="D60" s="352"/>
      <c r="E60" s="352"/>
      <c r="F60" s="352"/>
      <c r="G60" s="352"/>
      <c r="H60" s="352"/>
      <c r="I60" s="964"/>
      <c r="J60" s="965"/>
      <c r="K60" s="229"/>
      <c r="L60" s="229"/>
      <c r="M60" s="229"/>
      <c r="N60" s="232" t="s">
        <v>720</v>
      </c>
      <c r="O60" s="233">
        <f>K58*0.33*1000/(M58/O58)</f>
        <v>16.500000000000004</v>
      </c>
    </row>
    <row r="61" spans="1:20" ht="15.75" customHeight="1" thickBot="1">
      <c r="A61" s="352"/>
      <c r="B61" s="352"/>
      <c r="C61" s="352"/>
      <c r="D61" s="352"/>
      <c r="E61" s="352"/>
      <c r="F61" s="352"/>
      <c r="G61" s="352"/>
      <c r="H61" s="352"/>
      <c r="I61" s="801" t="s">
        <v>714</v>
      </c>
      <c r="J61" s="801"/>
      <c r="K61" s="989" t="s">
        <v>1859</v>
      </c>
      <c r="L61" s="989"/>
      <c r="M61" s="989"/>
      <c r="N61" s="989"/>
      <c r="O61" s="989"/>
    </row>
    <row r="62" spans="1:20">
      <c r="K62" s="990"/>
      <c r="L62" s="990"/>
      <c r="M62" s="990"/>
      <c r="N62" s="990"/>
      <c r="O62" s="990"/>
    </row>
    <row r="63" spans="1:20">
      <c r="K63" s="990"/>
      <c r="L63" s="990"/>
      <c r="M63" s="990"/>
      <c r="N63" s="990"/>
      <c r="O63" s="990"/>
    </row>
    <row r="64" spans="1:20">
      <c r="O64" s="220"/>
    </row>
    <row r="65" spans="15:21">
      <c r="O65" s="220"/>
    </row>
    <row r="66" spans="15:21">
      <c r="O66" s="220"/>
      <c r="P66" s="221"/>
    </row>
    <row r="67" spans="15:21">
      <c r="O67" s="220"/>
      <c r="P67" s="221"/>
    </row>
    <row r="68" spans="15:21">
      <c r="O68" s="222"/>
      <c r="P68" s="223"/>
    </row>
    <row r="69" spans="15:21">
      <c r="O69" s="222"/>
      <c r="P69" s="223"/>
    </row>
    <row r="70" spans="15:21">
      <c r="O70" s="220"/>
      <c r="P70" s="224"/>
    </row>
    <row r="72" spans="15:21">
      <c r="R72" s="225"/>
      <c r="S72" s="226"/>
      <c r="U72" s="18"/>
    </row>
    <row r="73" spans="15:21">
      <c r="R73" s="225"/>
      <c r="S73" s="226"/>
      <c r="U73" s="18"/>
    </row>
    <row r="74" spans="15:21">
      <c r="R74" s="227"/>
      <c r="U74" s="16"/>
    </row>
    <row r="75" spans="15:21">
      <c r="O75" s="228"/>
      <c r="R75" s="225"/>
      <c r="S75" s="226"/>
      <c r="U75" s="16"/>
    </row>
  </sheetData>
  <mergeCells count="124">
    <mergeCell ref="K61:O63"/>
    <mergeCell ref="Q44:T50"/>
    <mergeCell ref="U20:W20"/>
    <mergeCell ref="U21:V21"/>
    <mergeCell ref="U22:V22"/>
    <mergeCell ref="U23:V23"/>
    <mergeCell ref="U24:V24"/>
    <mergeCell ref="U25:V26"/>
    <mergeCell ref="W25:W26"/>
    <mergeCell ref="Q26:R26"/>
    <mergeCell ref="U27:V27"/>
    <mergeCell ref="Q20:S20"/>
    <mergeCell ref="K59:M59"/>
    <mergeCell ref="N31:O31"/>
    <mergeCell ref="L32:M32"/>
    <mergeCell ref="N32:O32"/>
    <mergeCell ref="K33:K34"/>
    <mergeCell ref="L33:M34"/>
    <mergeCell ref="N33:O34"/>
    <mergeCell ref="L26:M26"/>
    <mergeCell ref="N26:O26"/>
    <mergeCell ref="A17:A18"/>
    <mergeCell ref="A9:A16"/>
    <mergeCell ref="A46:A50"/>
    <mergeCell ref="I61:J61"/>
    <mergeCell ref="N54:O54"/>
    <mergeCell ref="L55:M55"/>
    <mergeCell ref="N55:O55"/>
    <mergeCell ref="L56:M56"/>
    <mergeCell ref="N56:O56"/>
    <mergeCell ref="K57:L57"/>
    <mergeCell ref="M57:N57"/>
    <mergeCell ref="F49:G49"/>
    <mergeCell ref="F50:G50"/>
    <mergeCell ref="I50:J50"/>
    <mergeCell ref="I51:J60"/>
    <mergeCell ref="L51:M51"/>
    <mergeCell ref="N51:O51"/>
    <mergeCell ref="L52:M52"/>
    <mergeCell ref="N52:O52"/>
    <mergeCell ref="L53:M53"/>
    <mergeCell ref="N53:O53"/>
    <mergeCell ref="L54:M54"/>
    <mergeCell ref="K58:L58"/>
    <mergeCell ref="M58:N58"/>
    <mergeCell ref="A27:A43"/>
    <mergeCell ref="L27:M27"/>
    <mergeCell ref="N27:O27"/>
    <mergeCell ref="L28:M28"/>
    <mergeCell ref="N28:O28"/>
    <mergeCell ref="I30:J34"/>
    <mergeCell ref="L30:M30"/>
    <mergeCell ref="L31:M31"/>
    <mergeCell ref="I35:J35"/>
    <mergeCell ref="I36:J49"/>
    <mergeCell ref="K36:K42"/>
    <mergeCell ref="K43:O43"/>
    <mergeCell ref="K44:K49"/>
    <mergeCell ref="F46:G46"/>
    <mergeCell ref="F47:G47"/>
    <mergeCell ref="F48:G48"/>
    <mergeCell ref="B24:C24"/>
    <mergeCell ref="Q24:R24"/>
    <mergeCell ref="B25:C25"/>
    <mergeCell ref="L25:M25"/>
    <mergeCell ref="N25:O25"/>
    <mergeCell ref="Q25:R25"/>
    <mergeCell ref="Q21:R21"/>
    <mergeCell ref="A22:A25"/>
    <mergeCell ref="B22:C22"/>
    <mergeCell ref="L22:M22"/>
    <mergeCell ref="N22:O22"/>
    <mergeCell ref="Q22:R22"/>
    <mergeCell ref="B23:C23"/>
    <mergeCell ref="L23:M23"/>
    <mergeCell ref="N23:O23"/>
    <mergeCell ref="Q23:R23"/>
    <mergeCell ref="D22:F22"/>
    <mergeCell ref="D23:F23"/>
    <mergeCell ref="D24:F24"/>
    <mergeCell ref="D25:F25"/>
    <mergeCell ref="I19:J19"/>
    <mergeCell ref="I20:J28"/>
    <mergeCell ref="L20:M20"/>
    <mergeCell ref="N20:O20"/>
    <mergeCell ref="L21:M21"/>
    <mergeCell ref="N21:O21"/>
    <mergeCell ref="I14:J18"/>
    <mergeCell ref="L14:M14"/>
    <mergeCell ref="N14:O14"/>
    <mergeCell ref="L15:M15"/>
    <mergeCell ref="N15:O15"/>
    <mergeCell ref="K17:K18"/>
    <mergeCell ref="L17:M18"/>
    <mergeCell ref="N17:O18"/>
    <mergeCell ref="I13:J13"/>
    <mergeCell ref="I11:J12"/>
    <mergeCell ref="K11:K12"/>
    <mergeCell ref="L11:M11"/>
    <mergeCell ref="N11:N12"/>
    <mergeCell ref="O11:O12"/>
    <mergeCell ref="L12:M12"/>
    <mergeCell ref="L16:M16"/>
    <mergeCell ref="N16:O16"/>
    <mergeCell ref="Q11:R11"/>
    <mergeCell ref="I10:J10"/>
    <mergeCell ref="K10:O10"/>
    <mergeCell ref="B5:C5"/>
    <mergeCell ref="A1:G1"/>
    <mergeCell ref="I1:O1"/>
    <mergeCell ref="A2:G2"/>
    <mergeCell ref="I2:O2"/>
    <mergeCell ref="B3:C3"/>
    <mergeCell ref="D3:G3"/>
    <mergeCell ref="I3:J9"/>
    <mergeCell ref="K3:M3"/>
    <mergeCell ref="B4:C4"/>
    <mergeCell ref="K4:M4"/>
    <mergeCell ref="K5:K9"/>
    <mergeCell ref="B6:C6"/>
    <mergeCell ref="A7:B7"/>
    <mergeCell ref="Q3:Q6"/>
    <mergeCell ref="Q7:Q9"/>
    <mergeCell ref="R7:W7"/>
  </mergeCells>
  <dataValidations count="1">
    <dataValidation type="list" allowBlank="1" showInputMessage="1" showErrorMessage="1" sqref="S24" xr:uid="{29974BE5-494E-469D-AE4C-C215B607909F}">
      <formula1>"Sucre,DMS,LMS,Eau"</formula1>
    </dataValidation>
  </dataValidations>
  <hyperlinks>
    <hyperlink ref="Q12" r:id="rId1" xr:uid="{BE73AFE8-7B33-4394-98B3-8B38251050DF}"/>
    <hyperlink ref="Q13" r:id="rId2" xr:uid="{F9F757D7-5B10-4205-A236-0FABC33ACCD6}"/>
  </hyperlinks>
  <pageMargins left="0.7" right="0.7" top="0.75" bottom="0.75" header="0.3" footer="0.3"/>
  <pageSetup paperSize="9" orientation="portrait" r:id="rId3"/>
  <drawing r:id="rId4"/>
  <extLst>
    <ext xmlns:x14="http://schemas.microsoft.com/office/spreadsheetml/2009/9/main" uri="{CCE6A557-97BC-4b89-ADB6-D9C93CAAB3DF}">
      <x14:dataValidations xmlns:xm="http://schemas.microsoft.com/office/excel/2006/main" count="8">
        <x14:dataValidation type="list" allowBlank="1" showInputMessage="1" showErrorMessage="1" xr:uid="{9C2992FE-03B7-45B5-BD13-D72993504E7A}">
          <x14:formula1>
            <xm:f>INGREDIENTS!$AF$6:$AF$33</xm:f>
          </x14:formula1>
          <xm:sqref>B47:B50</xm:sqref>
        </x14:dataValidation>
        <x14:dataValidation type="list" allowBlank="1" showInputMessage="1" showErrorMessage="1" xr:uid="{17A01B05-F4D1-474F-BB09-1C7227C7F939}">
          <x14:formula1>
            <xm:f>INGREDIENTS!$R$6:$R$151</xm:f>
          </x14:formula1>
          <xm:sqref>B28:B43</xm:sqref>
        </x14:dataValidation>
        <x14:dataValidation type="list" allowBlank="1" showInputMessage="1" showErrorMessage="1" xr:uid="{7BC5BA63-1584-4E14-9B6C-73BA8FC2B9C3}">
          <x14:formula1>
            <xm:f>INGREDIENTS!$BD$8:$BD$182</xm:f>
          </x14:formula1>
          <xm:sqref>R7</xm:sqref>
        </x14:dataValidation>
        <x14:dataValidation type="list" allowBlank="1" showInputMessage="1" showErrorMessage="1" xr:uid="{A5589E5D-7C8F-45F4-8492-3031F257D6C0}">
          <x14:formula1>
            <xm:f>INGREDIENTS!$AA$6:$AA$14</xm:f>
          </x14:formula1>
          <xm:sqref>D28:D43</xm:sqref>
        </x14:dataValidation>
        <x14:dataValidation type="list" allowBlank="1" showInputMessage="1" showErrorMessage="1" xr:uid="{9D5E9E86-0635-4CAA-9D86-51E8CDD5A914}">
          <x14:formula1>
            <xm:f>INGREDIENTS!$I$6:$I$23</xm:f>
          </x14:formula1>
          <xm:sqref>B17</xm:sqref>
        </x14:dataValidation>
        <x14:dataValidation type="list" allowBlank="1" showInputMessage="1" showErrorMessage="1" xr:uid="{D56F662B-599B-4B6E-A6BD-7914444C9C29}">
          <x14:formula1>
            <xm:f>INGREDIENTS!$AV$6:$AV$27</xm:f>
          </x14:formula1>
          <xm:sqref>B23:C25</xm:sqref>
        </x14:dataValidation>
        <x14:dataValidation type="list" allowBlank="1" showInputMessage="1" showErrorMessage="1" xr:uid="{24C24AA3-091B-4B25-848D-CF88A38D452B}">
          <x14:formula1>
            <xm:f>INGREDIENTS!$A$6:$A$60</xm:f>
          </x14:formula1>
          <xm:sqref>S30:S36</xm:sqref>
        </x14:dataValidation>
        <x14:dataValidation type="list" allowBlank="1" showInputMessage="1" showErrorMessage="1" xr:uid="{B1609A98-8E08-4492-8E9C-0EFC4766EAF5}">
          <x14:formula1>
            <xm:f>INGREDIENTS!$A$6:$A$121</xm:f>
          </x14:formula1>
          <xm:sqref>B10:B16</xm:sqref>
        </x14:dataValidation>
      </x14:dataValidations>
    </ext>
  </extLs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671AD5-1987-48A4-92C6-783171B51437}">
  <dimension ref="A1:AC78"/>
  <sheetViews>
    <sheetView zoomScale="70" zoomScaleNormal="70" workbookViewId="0">
      <selection activeCell="B2" sqref="B2:H2"/>
    </sheetView>
  </sheetViews>
  <sheetFormatPr baseColWidth="10" defaultColWidth="8.7109375" defaultRowHeight="15"/>
  <cols>
    <col min="1" max="1" width="10.5703125" bestFit="1" customWidth="1"/>
    <col min="2" max="2" width="18" bestFit="1" customWidth="1"/>
    <col min="3" max="3" width="10.5703125" bestFit="1" customWidth="1"/>
    <col min="4" max="4" width="8.85546875" bestFit="1" customWidth="1"/>
    <col min="5" max="5" width="9" customWidth="1"/>
    <col min="8" max="8" width="10.5703125" customWidth="1"/>
    <col min="9" max="9" width="2.85546875" customWidth="1"/>
    <col min="10" max="10" width="11.42578125" customWidth="1"/>
    <col min="12" max="12" width="16.42578125" customWidth="1"/>
    <col min="13" max="13" width="9.5703125" customWidth="1"/>
    <col min="15" max="15" width="10.140625" bestFit="1" customWidth="1"/>
    <col min="16" max="16" width="9.28515625" customWidth="1"/>
    <col min="18" max="18" width="10.42578125" customWidth="1"/>
    <col min="19" max="19" width="10.42578125" bestFit="1" customWidth="1"/>
    <col min="20" max="20" width="14" bestFit="1" customWidth="1"/>
    <col min="21" max="21" width="11.5703125" bestFit="1" customWidth="1"/>
    <col min="22" max="22" width="13.42578125" customWidth="1"/>
    <col min="23" max="23" width="11.42578125" bestFit="1" customWidth="1"/>
    <col min="24" max="24" width="9.5703125" customWidth="1"/>
    <col min="25" max="25" width="11.85546875" bestFit="1" customWidth="1"/>
    <col min="26" max="26" width="11.5703125" customWidth="1"/>
    <col min="27" max="27" width="10.28515625" customWidth="1"/>
  </cols>
  <sheetData>
    <row r="1" spans="1:29" ht="30.75" thickBot="1">
      <c r="A1" s="758" t="s">
        <v>1860</v>
      </c>
      <c r="B1" s="759"/>
      <c r="C1" s="759"/>
      <c r="D1" s="759"/>
      <c r="E1" s="759"/>
      <c r="F1" s="759"/>
      <c r="G1" s="759"/>
      <c r="H1" s="760"/>
      <c r="I1" s="353"/>
      <c r="J1" s="761" t="s">
        <v>665</v>
      </c>
      <c r="K1" s="762"/>
      <c r="L1" s="762"/>
      <c r="M1" s="762"/>
      <c r="N1" s="762"/>
      <c r="O1" s="762"/>
      <c r="P1" s="763"/>
      <c r="Q1" s="352"/>
    </row>
    <row r="2" spans="1:29" ht="81.75" customHeight="1" thickBot="1">
      <c r="A2" s="584"/>
      <c r="B2" s="992" t="s">
        <v>1878</v>
      </c>
      <c r="C2" s="992"/>
      <c r="D2" s="992"/>
      <c r="E2" s="992"/>
      <c r="F2" s="992"/>
      <c r="G2" s="992"/>
      <c r="H2" s="992"/>
      <c r="I2" s="354"/>
      <c r="J2" s="993"/>
      <c r="K2" s="993"/>
      <c r="L2" s="993"/>
      <c r="M2" s="993"/>
      <c r="N2" s="993"/>
      <c r="O2" s="993"/>
      <c r="P2" s="993"/>
      <c r="Q2" s="352"/>
    </row>
    <row r="3" spans="1:29" ht="14.45" customHeight="1">
      <c r="A3" s="142" t="s">
        <v>601</v>
      </c>
      <c r="B3" s="582" t="s">
        <v>663</v>
      </c>
      <c r="C3" s="770" t="s">
        <v>602</v>
      </c>
      <c r="D3" s="770"/>
      <c r="E3" s="770"/>
      <c r="F3" s="770"/>
      <c r="G3" s="770"/>
      <c r="H3" s="771"/>
      <c r="I3" s="355"/>
      <c r="J3" s="772" t="s">
        <v>615</v>
      </c>
      <c r="K3" s="773"/>
      <c r="L3" s="778" t="s">
        <v>616</v>
      </c>
      <c r="M3" s="779"/>
      <c r="N3" s="780"/>
      <c r="O3" s="518">
        <v>20</v>
      </c>
      <c r="P3" s="519">
        <v>69.400000000000006</v>
      </c>
      <c r="Q3" s="352"/>
      <c r="R3" s="996" t="s">
        <v>624</v>
      </c>
      <c r="S3" s="615" t="s">
        <v>2087</v>
      </c>
      <c r="T3" s="615" t="s">
        <v>2089</v>
      </c>
      <c r="U3" s="615" t="s">
        <v>2088</v>
      </c>
      <c r="V3" s="615" t="s">
        <v>2092</v>
      </c>
      <c r="W3" s="615" t="s">
        <v>2091</v>
      </c>
      <c r="X3" s="615" t="s">
        <v>2090</v>
      </c>
      <c r="Y3" s="615" t="s">
        <v>23</v>
      </c>
      <c r="Z3" s="998" t="s">
        <v>625</v>
      </c>
      <c r="AA3" s="392"/>
      <c r="AB3" s="392"/>
    </row>
    <row r="4" spans="1:29" ht="14.45" customHeight="1">
      <c r="A4" s="143" t="s">
        <v>603</v>
      </c>
      <c r="B4" s="580">
        <v>20</v>
      </c>
      <c r="C4" s="37" t="s">
        <v>604</v>
      </c>
      <c r="D4" s="1000">
        <f>N31</f>
        <v>1.054</v>
      </c>
      <c r="E4" s="1001"/>
      <c r="F4" s="37" t="s">
        <v>612</v>
      </c>
      <c r="G4" s="1002">
        <f>(76.08*(D4-D5)/(1.775-D4))*(D5/0.794)</f>
        <v>5.9059366888277953</v>
      </c>
      <c r="H4" s="1003"/>
      <c r="I4" s="356"/>
      <c r="J4" s="774"/>
      <c r="K4" s="775"/>
      <c r="L4" s="121" t="s">
        <v>911</v>
      </c>
      <c r="M4" s="312">
        <v>5.4</v>
      </c>
      <c r="N4" s="313" t="s">
        <v>646</v>
      </c>
      <c r="O4" s="27" t="s">
        <v>647</v>
      </c>
      <c r="P4" s="174"/>
      <c r="Q4" s="352"/>
      <c r="R4" s="997"/>
      <c r="S4" s="307" t="s">
        <v>872</v>
      </c>
      <c r="T4" s="307" t="s">
        <v>874</v>
      </c>
      <c r="U4" s="307" t="s">
        <v>876</v>
      </c>
      <c r="V4" s="307" t="s">
        <v>878</v>
      </c>
      <c r="W4" s="307" t="s">
        <v>880</v>
      </c>
      <c r="X4" s="307" t="s">
        <v>882</v>
      </c>
      <c r="Y4" s="47"/>
      <c r="Z4" s="999"/>
      <c r="AA4" s="392"/>
      <c r="AB4" s="392"/>
    </row>
    <row r="5" spans="1:29" ht="14.45" customHeight="1">
      <c r="A5" s="143" t="s">
        <v>605</v>
      </c>
      <c r="B5" s="581">
        <v>45812</v>
      </c>
      <c r="C5" s="37" t="s">
        <v>606</v>
      </c>
      <c r="D5" s="1004">
        <f>N52</f>
        <v>1.01</v>
      </c>
      <c r="E5" s="1005"/>
      <c r="F5" s="37" t="s">
        <v>614</v>
      </c>
      <c r="G5" s="1006">
        <f>N55</f>
        <v>2.2999999999999998</v>
      </c>
      <c r="H5" s="1007"/>
      <c r="I5" s="357"/>
      <c r="J5" s="774"/>
      <c r="K5" s="775"/>
      <c r="L5" s="751" t="s">
        <v>622</v>
      </c>
      <c r="M5" s="121" t="s">
        <v>609</v>
      </c>
      <c r="N5" s="36">
        <v>66</v>
      </c>
      <c r="O5" s="27">
        <v>70</v>
      </c>
      <c r="P5" s="174"/>
      <c r="Q5" s="352"/>
      <c r="R5" s="616" t="s">
        <v>2085</v>
      </c>
      <c r="S5" s="609">
        <v>37</v>
      </c>
      <c r="T5" s="609">
        <v>60</v>
      </c>
      <c r="U5" s="609">
        <v>107</v>
      </c>
      <c r="V5" s="609">
        <v>10.3</v>
      </c>
      <c r="W5" s="609">
        <v>21</v>
      </c>
      <c r="X5" s="609">
        <v>294</v>
      </c>
      <c r="Y5" s="610">
        <v>7.4</v>
      </c>
      <c r="Z5" s="617">
        <f>T5/S5</f>
        <v>1.6216216216216217</v>
      </c>
      <c r="AA5" s="392"/>
      <c r="AB5" s="392"/>
    </row>
    <row r="6" spans="1:29" ht="14.45" customHeight="1" thickBot="1">
      <c r="A6" s="143"/>
      <c r="B6" s="593"/>
      <c r="C6" s="37" t="s">
        <v>608</v>
      </c>
      <c r="D6" s="1008">
        <f>E26</f>
        <v>7.2542161035053061</v>
      </c>
      <c r="E6" s="1009"/>
      <c r="F6" s="37" t="s">
        <v>618</v>
      </c>
      <c r="G6" s="1002">
        <f>D7/((D4-1)*1000)</f>
        <v>0.62385015061601434</v>
      </c>
      <c r="H6" s="1003"/>
      <c r="I6" s="356"/>
      <c r="J6" s="774"/>
      <c r="K6" s="775"/>
      <c r="L6" s="752"/>
      <c r="M6" s="121" t="s">
        <v>611</v>
      </c>
      <c r="N6" s="36"/>
      <c r="O6" s="27"/>
      <c r="P6" s="174"/>
      <c r="Q6" s="352"/>
      <c r="R6" s="653" t="s">
        <v>2086</v>
      </c>
      <c r="S6" s="654"/>
      <c r="T6" s="654"/>
      <c r="U6" s="654"/>
      <c r="V6" s="654"/>
      <c r="W6" s="654"/>
      <c r="X6" s="654"/>
      <c r="Y6" s="655"/>
      <c r="Z6" s="656"/>
      <c r="AA6" s="392"/>
      <c r="AB6" s="392"/>
    </row>
    <row r="7" spans="1:29" ht="15.75" customHeight="1" thickBot="1">
      <c r="A7" s="597"/>
      <c r="B7" s="598"/>
      <c r="C7" s="145" t="s">
        <v>610</v>
      </c>
      <c r="D7" s="1010">
        <f>H52</f>
        <v>33.687908133264806</v>
      </c>
      <c r="E7" s="1011"/>
      <c r="F7" s="146" t="s">
        <v>621</v>
      </c>
      <c r="G7" s="994">
        <f>D7/(0.1808*(259-(259/D4))+(0.8192*(259-(259/D5))))</f>
        <v>7.4864724839356684</v>
      </c>
      <c r="H7" s="995"/>
      <c r="I7" s="358"/>
      <c r="J7" s="774"/>
      <c r="K7" s="775"/>
      <c r="L7" s="752"/>
      <c r="M7" s="121" t="s">
        <v>613</v>
      </c>
      <c r="N7" s="36"/>
      <c r="O7" s="27"/>
      <c r="P7" s="174"/>
      <c r="Q7" s="352"/>
      <c r="R7" s="1019" t="s">
        <v>2084</v>
      </c>
      <c r="S7" s="657" t="s">
        <v>2085</v>
      </c>
      <c r="T7" s="1022" t="s">
        <v>2226</v>
      </c>
      <c r="U7" s="1023"/>
      <c r="V7" s="1023"/>
      <c r="W7" s="658" t="str">
        <f>VLOOKUP(T7,Tableau4[],2,FALSE)</f>
        <v>IPA</v>
      </c>
      <c r="X7" s="659" t="str">
        <f>VLOOKUP(T7,Tableau4[],3,FALSE)</f>
        <v>12C</v>
      </c>
      <c r="Y7" s="660"/>
      <c r="Z7" s="661"/>
    </row>
    <row r="8" spans="1:29" ht="15.75" customHeight="1" thickBot="1">
      <c r="A8" s="355"/>
      <c r="B8" s="367"/>
      <c r="D8" s="352"/>
      <c r="E8" s="352"/>
      <c r="F8" s="359"/>
      <c r="G8" s="359"/>
      <c r="H8" s="472"/>
      <c r="I8" s="359"/>
      <c r="J8" s="589"/>
      <c r="K8" s="590"/>
      <c r="L8" s="752"/>
      <c r="M8" s="121" t="s">
        <v>617</v>
      </c>
      <c r="N8" s="36">
        <v>75</v>
      </c>
      <c r="O8" s="27">
        <v>10</v>
      </c>
      <c r="P8" s="174"/>
      <c r="Q8" s="352"/>
      <c r="R8" s="1020"/>
      <c r="S8" s="662" t="s">
        <v>2087</v>
      </c>
      <c r="T8" s="662" t="s">
        <v>2089</v>
      </c>
      <c r="U8" s="662" t="s">
        <v>2088</v>
      </c>
      <c r="V8" s="662" t="s">
        <v>2092</v>
      </c>
      <c r="W8" s="662" t="s">
        <v>2091</v>
      </c>
      <c r="X8" s="662" t="s">
        <v>2090</v>
      </c>
      <c r="Y8" s="662"/>
      <c r="Z8" s="663" t="s">
        <v>625</v>
      </c>
      <c r="AC8" s="620"/>
    </row>
    <row r="9" spans="1:29" ht="17.45" customHeight="1" thickBot="1">
      <c r="A9" s="1024" t="s">
        <v>634</v>
      </c>
      <c r="B9" s="148" t="s">
        <v>2073</v>
      </c>
      <c r="C9" s="148" t="s">
        <v>633</v>
      </c>
      <c r="D9" s="463" t="s">
        <v>666</v>
      </c>
      <c r="E9" s="523" t="s">
        <v>2</v>
      </c>
      <c r="F9" s="524" t="s">
        <v>2076</v>
      </c>
      <c r="G9" s="524" t="s">
        <v>23</v>
      </c>
      <c r="H9" s="525" t="s">
        <v>2014</v>
      </c>
      <c r="I9" s="355"/>
      <c r="J9" s="591"/>
      <c r="K9" s="592"/>
      <c r="L9" s="753"/>
      <c r="M9" s="175" t="s">
        <v>620</v>
      </c>
      <c r="N9" s="176"/>
      <c r="O9" s="177">
        <f>SUM(O5:O7)</f>
        <v>70</v>
      </c>
      <c r="P9" s="178"/>
      <c r="Q9" s="352"/>
      <c r="R9" s="1020"/>
      <c r="S9" s="613">
        <f>VLOOKUP($T$7,Tableau4[],16,FALSE)</f>
        <v>150</v>
      </c>
      <c r="T9" s="613">
        <f>VLOOKUP($T$7,Tableau4[],18,FALSE)</f>
        <v>0</v>
      </c>
      <c r="U9" s="613">
        <f>VLOOKUP($T$7,Tableau4[],20,FALSE)</f>
        <v>50</v>
      </c>
      <c r="V9" s="613">
        <f>VLOOKUP($T$7,Tableau4[],22,FALSE)</f>
        <v>5</v>
      </c>
      <c r="W9" s="613">
        <f>VLOOKUP($T$7,Tableau4[],24,FALSE)</f>
        <v>10</v>
      </c>
      <c r="X9" s="613">
        <f>VLOOKUP($T$7,Tableau4[],26,FALSE)</f>
        <v>0</v>
      </c>
      <c r="Y9" s="614" t="s">
        <v>887</v>
      </c>
      <c r="Z9" s="664">
        <f>VLOOKUP($T$7,Tableau4[],14,FALSE)</f>
        <v>1.5</v>
      </c>
      <c r="AC9" s="620"/>
    </row>
    <row r="10" spans="1:29" ht="15.75" customHeight="1" thickBot="1">
      <c r="A10" s="1025"/>
      <c r="B10" s="237" t="s">
        <v>2594</v>
      </c>
      <c r="C10" s="450">
        <v>2750</v>
      </c>
      <c r="D10" s="465">
        <f t="shared" ref="D10:D23" si="0">C10/$C$26</f>
        <v>0.5</v>
      </c>
      <c r="E10" s="526">
        <f>IFERROR(VLOOKUP(B10,INGREDIENTS!$A$6:$E$121,3,FALSE),"")</f>
        <v>5</v>
      </c>
      <c r="F10" s="527">
        <f>IFERROR(VLOOKUP(B10,INGREDIENTS!$A$6:$E$121,2,FALSE),"")</f>
        <v>0.81</v>
      </c>
      <c r="G10" s="528">
        <f>IFERROR(VLOOKUP(B10,INGREDIENTS!$A$6:$E$121,5,FALSE),"")</f>
        <v>5.77</v>
      </c>
      <c r="H10" s="529">
        <f>IFERROR(VLOOKUP(B10,INGREDIENTS!$A$6:$F$121,6,FALSE),"")</f>
        <v>305</v>
      </c>
      <c r="I10" s="360"/>
      <c r="J10" s="801" t="s">
        <v>714</v>
      </c>
      <c r="K10" s="801"/>
      <c r="L10" s="801"/>
      <c r="M10" s="801"/>
      <c r="N10" s="801"/>
      <c r="O10" s="801"/>
      <c r="P10" s="801"/>
      <c r="Q10" s="352"/>
      <c r="R10" s="1020"/>
      <c r="S10" s="618">
        <f>VLOOKUP($T$7,Tableau4[],17,FALSE)</f>
        <v>250</v>
      </c>
      <c r="T10" s="618">
        <f>VLOOKUP($T$7,Tableau4[],19,FALSE)</f>
        <v>50</v>
      </c>
      <c r="U10" s="618">
        <f>VLOOKUP($T$7,Tableau4[],21,FALSE)</f>
        <v>100</v>
      </c>
      <c r="V10" s="618">
        <f>VLOOKUP($T$7,Tableau4[],23,FALSE)</f>
        <v>20</v>
      </c>
      <c r="W10" s="618">
        <f>VLOOKUP($T$7,Tableau4[],25,FALSE)</f>
        <v>30</v>
      </c>
      <c r="X10" s="618">
        <f>VLOOKUP($T$7,Tableau4[],27,FALSE)</f>
        <v>50</v>
      </c>
      <c r="Y10" s="619" t="s">
        <v>888</v>
      </c>
      <c r="Z10" s="665">
        <f>VLOOKUP($T$7,Tableau4[],15,FALSE)</f>
        <v>3</v>
      </c>
      <c r="AC10" s="620"/>
    </row>
    <row r="11" spans="1:29">
      <c r="A11" s="1025"/>
      <c r="B11" s="237" t="s">
        <v>910</v>
      </c>
      <c r="C11" s="450">
        <v>1100</v>
      </c>
      <c r="D11" s="465">
        <f t="shared" si="0"/>
        <v>0.2</v>
      </c>
      <c r="E11" s="526">
        <f>IFERROR(VLOOKUP(B11,INGREDIENTS!$A$6:$E$121,3,FALSE),"")</f>
        <v>4</v>
      </c>
      <c r="F11" s="527">
        <f>IFERROR(VLOOKUP(B11,INGREDIENTS!$A$6:$E$121,2,FALSE),"")</f>
        <v>0.8</v>
      </c>
      <c r="G11" s="528">
        <f>IFERROR(VLOOKUP(B11,INGREDIENTS!$A$6:$E$121,5,FALSE),"")</f>
        <v>5.9</v>
      </c>
      <c r="H11" s="529">
        <f>IFERROR(VLOOKUP(B11,INGREDIENTS!$A$6:$F$121,6,FALSE),"")</f>
        <v>300</v>
      </c>
      <c r="I11" s="360"/>
      <c r="J11" s="786" t="s">
        <v>626</v>
      </c>
      <c r="K11" s="787"/>
      <c r="L11" s="790" t="s">
        <v>627</v>
      </c>
      <c r="M11" s="792">
        <v>14</v>
      </c>
      <c r="N11" s="793"/>
      <c r="O11" s="794" t="s">
        <v>23</v>
      </c>
      <c r="P11" s="1026">
        <v>7.4</v>
      </c>
      <c r="Q11" s="352"/>
      <c r="R11" s="1020"/>
      <c r="S11" s="662" t="s">
        <v>612</v>
      </c>
      <c r="T11" s="662" t="s">
        <v>604</v>
      </c>
      <c r="U11" s="662" t="s">
        <v>606</v>
      </c>
      <c r="V11" s="662" t="s">
        <v>693</v>
      </c>
      <c r="W11" s="662" t="s">
        <v>2</v>
      </c>
      <c r="X11" s="666" t="s">
        <v>2134</v>
      </c>
      <c r="Y11" s="610"/>
      <c r="Z11" s="663"/>
    </row>
    <row r="12" spans="1:29" ht="15.75" customHeight="1" thickBot="1">
      <c r="A12" s="1025"/>
      <c r="B12" s="237" t="s">
        <v>909</v>
      </c>
      <c r="C12" s="450">
        <v>550</v>
      </c>
      <c r="D12" s="465">
        <f t="shared" si="0"/>
        <v>0.1</v>
      </c>
      <c r="E12" s="526">
        <f>IFERROR(VLOOKUP(B12,INGREDIENTS!$A$6:$E$121,3,FALSE),"")</f>
        <v>2.5</v>
      </c>
      <c r="F12" s="527">
        <f>IFERROR(VLOOKUP(B12,INGREDIENTS!$A$6:$E$121,2,FALSE),"")</f>
        <v>0.5</v>
      </c>
      <c r="G12" s="528">
        <f>IFERROR(VLOOKUP(B12,INGREDIENTS!$A$6:$E$121,5,FALSE),"")</f>
        <v>5.75</v>
      </c>
      <c r="H12" s="529">
        <f>IFERROR(VLOOKUP(B12,INGREDIENTS!$A$6:$F$121,6,FALSE),"")</f>
        <v>300</v>
      </c>
      <c r="I12" s="360"/>
      <c r="J12" s="788"/>
      <c r="K12" s="789"/>
      <c r="L12" s="791"/>
      <c r="M12" s="799">
        <v>78</v>
      </c>
      <c r="N12" s="800"/>
      <c r="O12" s="795"/>
      <c r="P12" s="1027"/>
      <c r="Q12" s="352"/>
      <c r="R12" s="1020"/>
      <c r="S12" s="613">
        <f>VLOOKUP($T$7,Tableau4[],8,FALSE)</f>
        <v>6</v>
      </c>
      <c r="T12" s="613">
        <f>VLOOKUP($T$7,Tableau4[],4,FALSE)</f>
        <v>1.06</v>
      </c>
      <c r="U12" s="613">
        <f>VLOOKUP($T$7,Tableau4[],6,FALSE)</f>
        <v>1.01</v>
      </c>
      <c r="V12" s="613">
        <f>VLOOKUP($T$7,Tableau4[],10,FALSE)</f>
        <v>25</v>
      </c>
      <c r="W12" s="613">
        <f>VLOOKUP($T$7,Tableau4[],12,FALSE)</f>
        <v>5.9</v>
      </c>
      <c r="X12" s="613">
        <f>VLOOKUP($T$7,Tableau4[],28,FALSE)</f>
        <v>5.2</v>
      </c>
      <c r="Y12" s="614" t="s">
        <v>887</v>
      </c>
      <c r="Z12" s="664"/>
      <c r="AB12" s="392"/>
      <c r="AC12" s="620"/>
    </row>
    <row r="13" spans="1:29" ht="14.45" customHeight="1" thickBot="1">
      <c r="A13" s="1025"/>
      <c r="B13" s="237" t="s">
        <v>813</v>
      </c>
      <c r="C13" s="450">
        <v>550</v>
      </c>
      <c r="D13" s="465">
        <f t="shared" si="0"/>
        <v>0.1</v>
      </c>
      <c r="E13" s="526">
        <f>IFERROR(VLOOKUP(B13,INGREDIENTS!$A$6:$E$121,3,FALSE),"")</f>
        <v>3</v>
      </c>
      <c r="F13" s="527">
        <f>IFERROR(VLOOKUP(B13,INGREDIENTS!$A$6:$E$121,2,FALSE),"")</f>
        <v>0.65</v>
      </c>
      <c r="G13" s="528">
        <f>IFERROR(VLOOKUP(B13,INGREDIENTS!$A$6:$E$121,5,FALSE),"")</f>
        <v>6</v>
      </c>
      <c r="H13" s="529">
        <f>IFERROR(VLOOKUP(B13,INGREDIENTS!$A$6:$F$121,6,FALSE),"")</f>
        <v>300</v>
      </c>
      <c r="I13" s="360"/>
      <c r="J13" s="801" t="s">
        <v>714</v>
      </c>
      <c r="K13" s="801"/>
      <c r="L13" s="261"/>
      <c r="M13" s="30"/>
      <c r="N13" s="31"/>
      <c r="O13" s="31"/>
      <c r="P13" s="28"/>
      <c r="Q13" s="352"/>
      <c r="R13" s="1021"/>
      <c r="S13" s="618">
        <f>VLOOKUP($T$7,Tableau4[],9,FALSE)</f>
        <v>9</v>
      </c>
      <c r="T13" s="618">
        <f>VLOOKUP($T$7,Tableau4[],5,FALSE)</f>
        <v>1.085</v>
      </c>
      <c r="U13" s="618">
        <f>VLOOKUP($T$7,Tableau4[],7,FALSE)</f>
        <v>1.0149999999999999</v>
      </c>
      <c r="V13" s="618">
        <f>VLOOKUP($T$7,Tableau4[],11,FALSE)</f>
        <v>60</v>
      </c>
      <c r="W13" s="618">
        <f>VLOOKUP($T$7,Tableau4[],13,FALSE)</f>
        <v>13.8</v>
      </c>
      <c r="X13" s="618">
        <f>VLOOKUP($T$7,Tableau4[],29,FALSE)</f>
        <v>5.4</v>
      </c>
      <c r="Y13" s="619" t="s">
        <v>888</v>
      </c>
      <c r="Z13" s="665"/>
      <c r="AB13" s="392"/>
      <c r="AC13" s="621"/>
    </row>
    <row r="14" spans="1:29" ht="14.45" customHeight="1">
      <c r="A14" s="1025"/>
      <c r="B14" s="237" t="s">
        <v>54</v>
      </c>
      <c r="C14" s="450">
        <v>550</v>
      </c>
      <c r="D14" s="465">
        <f t="shared" si="0"/>
        <v>0.1</v>
      </c>
      <c r="E14" s="526" t="str">
        <f>IFERROR(VLOOKUP(B14,INGREDIENTS!$A$6:$E$121,3,FALSE),"")</f>
        <v/>
      </c>
      <c r="F14" s="527" t="str">
        <f>IFERROR(VLOOKUP(B14,INGREDIENTS!$A$6:$E$121,2,FALSE),"")</f>
        <v/>
      </c>
      <c r="G14" s="528" t="str">
        <f>IFERROR(VLOOKUP(B14,INGREDIENTS!$A$6:$E$121,5,FALSE),"")</f>
        <v/>
      </c>
      <c r="H14" s="529" t="str">
        <f>IFERROR(VLOOKUP(B14,INGREDIENTS!$A$6:$F$121,6,FALSE),"")</f>
        <v/>
      </c>
      <c r="I14" s="360"/>
      <c r="J14" s="802" t="s">
        <v>628</v>
      </c>
      <c r="K14" s="803"/>
      <c r="L14" s="205"/>
      <c r="M14" s="542" t="s">
        <v>737</v>
      </c>
      <c r="N14" s="808" t="s">
        <v>630</v>
      </c>
      <c r="O14" s="1012"/>
      <c r="P14" s="810"/>
      <c r="Q14" s="352"/>
      <c r="AC14" s="620"/>
    </row>
    <row r="15" spans="1:29" ht="17.100000000000001" customHeight="1">
      <c r="A15" s="1025"/>
      <c r="B15" s="32"/>
      <c r="C15" s="26"/>
      <c r="D15" s="465">
        <f t="shared" si="0"/>
        <v>0</v>
      </c>
      <c r="E15" s="526" t="str">
        <f>IFERROR(VLOOKUP(B15,INGREDIENTS!$A$6:$E$121,3,FALSE),"")</f>
        <v/>
      </c>
      <c r="F15" s="527" t="str">
        <f>IFERROR(VLOOKUP(B15,INGREDIENTS!$A$6:$E$121,2,FALSE),"")</f>
        <v/>
      </c>
      <c r="G15" s="528" t="str">
        <f>IFERROR(VLOOKUP(B15,INGREDIENTS!$A$6:$E$121,5,FALSE),"")</f>
        <v/>
      </c>
      <c r="H15" s="529" t="str">
        <f>IFERROR(VLOOKUP(B15,INGREDIENTS!$A$6:$F$121,6,FALSE),"")</f>
        <v/>
      </c>
      <c r="I15" s="360"/>
      <c r="J15" s="804"/>
      <c r="K15" s="805"/>
      <c r="L15" s="38" t="s">
        <v>631</v>
      </c>
      <c r="M15" s="672">
        <v>1.05</v>
      </c>
      <c r="N15" s="1013">
        <v>1.0449999999999999</v>
      </c>
      <c r="O15" s="1014"/>
      <c r="P15" s="1015"/>
      <c r="Q15" s="352"/>
      <c r="AC15" s="620"/>
    </row>
    <row r="16" spans="1:29" ht="17.100000000000001" customHeight="1">
      <c r="A16" s="1025"/>
      <c r="B16" s="32"/>
      <c r="C16" s="26"/>
      <c r="D16" s="465">
        <f t="shared" si="0"/>
        <v>0</v>
      </c>
      <c r="E16" s="526" t="str">
        <f>IFERROR(VLOOKUP(B16,INGREDIENTS!$A$6:$E$121,3,FALSE),"")</f>
        <v/>
      </c>
      <c r="F16" s="527" t="str">
        <f>IFERROR(VLOOKUP(B16,INGREDIENTS!$A$6:$E$121,2,FALSE),"")</f>
        <v/>
      </c>
      <c r="G16" s="528" t="str">
        <f>IFERROR(VLOOKUP(B16,INGREDIENTS!$A$6:$E$121,5,FALSE),"")</f>
        <v/>
      </c>
      <c r="H16" s="529" t="str">
        <f>IFERROR(VLOOKUP(B16,INGREDIENTS!$A$6:$F$121,6,FALSE),"")</f>
        <v/>
      </c>
      <c r="I16" s="360"/>
      <c r="J16" s="804"/>
      <c r="K16" s="805"/>
      <c r="L16" s="38" t="s">
        <v>603</v>
      </c>
      <c r="M16" s="543">
        <v>27</v>
      </c>
      <c r="N16" s="1016"/>
      <c r="O16" s="1017"/>
      <c r="P16" s="1018"/>
      <c r="Q16" s="352"/>
      <c r="R16" s="798" t="s">
        <v>682</v>
      </c>
      <c r="S16" s="798"/>
      <c r="T16" s="798"/>
      <c r="AC16" s="620"/>
    </row>
    <row r="17" spans="1:29" ht="17.100000000000001" customHeight="1">
      <c r="A17" s="1025"/>
      <c r="B17" s="32"/>
      <c r="C17" s="26"/>
      <c r="D17" s="465">
        <f t="shared" si="0"/>
        <v>0</v>
      </c>
      <c r="E17" s="526" t="str">
        <f>IFERROR(VLOOKUP(B17,INGREDIENTS!$A$6:$E$121,3,FALSE),"")</f>
        <v/>
      </c>
      <c r="F17" s="527" t="str">
        <f>IFERROR(VLOOKUP(B17,INGREDIENTS!$A$6:$E$121,2,FALSE),"")</f>
        <v/>
      </c>
      <c r="G17" s="528" t="str">
        <f>IFERROR(VLOOKUP(B17,INGREDIENTS!$A$6:$E$121,5,FALSE),"")</f>
        <v/>
      </c>
      <c r="H17" s="529" t="str">
        <f>IFERROR(VLOOKUP(B17,INGREDIENTS!$A$6:$F$121,6,FALSE),"")</f>
        <v/>
      </c>
      <c r="I17" s="360"/>
      <c r="J17" s="804"/>
      <c r="K17" s="805"/>
      <c r="L17" s="1028" t="s">
        <v>607</v>
      </c>
      <c r="M17" s="1030">
        <f>(2.57452*(M15-1)*M16*1000)/(C26*(SUMPRODUCT(F10:F23,C10:C23)/$C$26))</f>
        <v>0.92930534759358363</v>
      </c>
      <c r="N17" s="1032">
        <f>(2.57452*(N15-1)*N16*1000)/(C26*(SUMPRODUCT(F10:F23,C10:C23)/$C$26))</f>
        <v>0</v>
      </c>
      <c r="O17" s="1033"/>
      <c r="P17" s="1034"/>
      <c r="Q17" s="352"/>
      <c r="R17" s="304" t="s">
        <v>870</v>
      </c>
      <c r="Z17" s="390"/>
      <c r="AA17" s="392"/>
      <c r="AC17" s="620"/>
    </row>
    <row r="18" spans="1:29" ht="17.100000000000001" customHeight="1" thickBot="1">
      <c r="A18" s="1025"/>
      <c r="B18" s="32"/>
      <c r="C18" s="26"/>
      <c r="D18" s="465">
        <f t="shared" si="0"/>
        <v>0</v>
      </c>
      <c r="E18" s="526" t="str">
        <f>IFERROR(VLOOKUP(B18,INGREDIENTS!$A$6:$E$121,3,FALSE),"")</f>
        <v/>
      </c>
      <c r="F18" s="527" t="str">
        <f>IFERROR(VLOOKUP(B18,INGREDIENTS!$A$6:$E$121,2,FALSE),"")</f>
        <v/>
      </c>
      <c r="G18" s="528" t="str">
        <f>IFERROR(VLOOKUP(B18,INGREDIENTS!$A$6:$E$121,5,FALSE),"")</f>
        <v/>
      </c>
      <c r="H18" s="529" t="str">
        <f>IFERROR(VLOOKUP(B18,INGREDIENTS!$A$6:$F$121,6,FALSE),"")</f>
        <v/>
      </c>
      <c r="I18" s="360"/>
      <c r="J18" s="806"/>
      <c r="K18" s="807"/>
      <c r="L18" s="1029"/>
      <c r="M18" s="1031"/>
      <c r="N18" s="1035"/>
      <c r="O18" s="1036"/>
      <c r="P18" s="1037"/>
      <c r="Q18" s="352"/>
      <c r="R18" s="304" t="s">
        <v>908</v>
      </c>
      <c r="Z18" s="390"/>
      <c r="AA18" s="392"/>
    </row>
    <row r="19" spans="1:29" ht="17.100000000000001" customHeight="1" thickBot="1">
      <c r="A19" s="1025"/>
      <c r="B19" s="32"/>
      <c r="C19" s="26"/>
      <c r="D19" s="465">
        <f t="shared" si="0"/>
        <v>0</v>
      </c>
      <c r="E19" s="526" t="str">
        <f>IFERROR(VLOOKUP(B19,INGREDIENTS!$A$6:$E$121,3,FALSE),"")</f>
        <v/>
      </c>
      <c r="F19" s="527" t="str">
        <f>IFERROR(VLOOKUP(B19,INGREDIENTS!$A$6:$E$121,2,FALSE),"")</f>
        <v/>
      </c>
      <c r="G19" s="528" t="str">
        <f>IFERROR(VLOOKUP(B19,INGREDIENTS!$A$6:$E$121,5,FALSE),"")</f>
        <v/>
      </c>
      <c r="H19" s="529" t="str">
        <f>IFERROR(VLOOKUP(B19,INGREDIENTS!$A$6:$F$121,6,FALSE),"")</f>
        <v/>
      </c>
      <c r="I19" s="361"/>
      <c r="J19" s="784" t="s">
        <v>714</v>
      </c>
      <c r="K19" s="784"/>
      <c r="L19" s="362"/>
      <c r="M19" s="362"/>
      <c r="N19" s="362"/>
      <c r="O19" s="362"/>
      <c r="P19" s="362"/>
      <c r="Q19" s="352"/>
      <c r="AA19" s="392"/>
    </row>
    <row r="20" spans="1:29" ht="17.45" customHeight="1" thickBot="1">
      <c r="A20" s="1038"/>
      <c r="B20" s="237" t="str">
        <f>IFERROR(VLOOKUP(A20,INGREDIENTS!$A$6:$E$38,3,FALSE),"")</f>
        <v/>
      </c>
      <c r="C20" s="450"/>
      <c r="D20" s="466">
        <f t="shared" si="0"/>
        <v>0</v>
      </c>
      <c r="E20" s="526" t="str">
        <f>IFERROR(VLOOKUP(B20,INGREDIENTS!$A$6:$E$121,3,FALSE),"")</f>
        <v/>
      </c>
      <c r="F20" s="527" t="str">
        <f>IFERROR(VLOOKUP(B20,INGREDIENTS!$A$6:$E$121,2,FALSE),"")</f>
        <v/>
      </c>
      <c r="G20" s="528" t="str">
        <f>IFERROR(VLOOKUP(B20,INGREDIENTS!$A$6:$E$121,5,FALSE),"")</f>
        <v/>
      </c>
      <c r="H20" s="529" t="str">
        <f>IFERROR(VLOOKUP(B20,INGREDIENTS!$A$6:$F$121,6,FALSE),"")</f>
        <v/>
      </c>
      <c r="I20" s="361"/>
      <c r="J20" s="844" t="s">
        <v>736</v>
      </c>
      <c r="K20" s="845"/>
      <c r="L20" s="181"/>
      <c r="M20" s="539" t="s">
        <v>737</v>
      </c>
      <c r="N20" s="850" t="s">
        <v>630</v>
      </c>
      <c r="O20" s="1039"/>
      <c r="P20" s="852"/>
      <c r="Q20" s="352"/>
      <c r="R20" s="1040" t="s">
        <v>912</v>
      </c>
      <c r="S20" s="1041"/>
      <c r="T20" s="1041"/>
      <c r="U20" s="1042"/>
    </row>
    <row r="21" spans="1:29" ht="18" customHeight="1" thickTop="1">
      <c r="A21" s="1043" t="s">
        <v>637</v>
      </c>
      <c r="B21" s="394" t="str">
        <f>IFERROR(VLOOKUP(A21,INGREDIENTS!$I$6:$L$24,3,FALSE),"")</f>
        <v/>
      </c>
      <c r="C21" s="451"/>
      <c r="D21" s="467">
        <f t="shared" si="0"/>
        <v>0</v>
      </c>
      <c r="E21" s="530" t="str">
        <f>IFERROR(VLOOKUP(B21,INGREDIENTS!$I$6:$L$37,3,FALSE),"")</f>
        <v/>
      </c>
      <c r="F21" s="531" t="str">
        <f>IFERROR(VLOOKUP(B21,INGREDIENTS!$I$6:$L$37,2,FALSE),"")</f>
        <v/>
      </c>
      <c r="G21" s="532" t="str">
        <f>IFERROR(VLOOKUP(B21,INGREDIENTS!$I$6:$L$37,5,FALSE),"")</f>
        <v/>
      </c>
      <c r="H21" s="533" t="str">
        <f>IFERROR(VLOOKUP(B21,INGREDIENTS!$I$6:$M$37,6,FALSE),"")</f>
        <v/>
      </c>
      <c r="I21" s="352"/>
      <c r="J21" s="846"/>
      <c r="K21" s="847"/>
      <c r="L21" s="570" t="s">
        <v>631</v>
      </c>
      <c r="M21" s="540">
        <v>1.0549999999999999</v>
      </c>
      <c r="N21" s="1046"/>
      <c r="O21" s="1047"/>
      <c r="P21" s="1048"/>
      <c r="Q21" s="352"/>
      <c r="R21" s="1049"/>
      <c r="S21" s="861"/>
      <c r="T21" s="435" t="s">
        <v>615</v>
      </c>
      <c r="U21" s="435" t="s">
        <v>2093</v>
      </c>
    </row>
    <row r="22" spans="1:29" ht="15.6" customHeight="1">
      <c r="A22" s="1025"/>
      <c r="B22" s="237" t="str">
        <f>IFERROR(VLOOKUP(A22,INGREDIENTS!$I$6:$L$24,3,FALSE),"")</f>
        <v/>
      </c>
      <c r="C22" s="450"/>
      <c r="D22" s="465">
        <f t="shared" si="0"/>
        <v>0</v>
      </c>
      <c r="E22" s="526" t="str">
        <f>IFERROR(VLOOKUP(B22,INGREDIENTS!$I$6:$L$37,3,FALSE),"")</f>
        <v/>
      </c>
      <c r="F22" s="527" t="str">
        <f>IFERROR(VLOOKUP(B22,INGREDIENTS!$I$6:$L$37,2,FALSE),"")</f>
        <v/>
      </c>
      <c r="G22" s="528" t="str">
        <f>IFERROR(VLOOKUP(B22,INGREDIENTS!$I$6:$L$37,5,FALSE),"")</f>
        <v/>
      </c>
      <c r="H22" s="529" t="str">
        <f>IFERROR(VLOOKUP(B22,INGREDIENTS!$I$6:$M$37,6,FALSE),"")</f>
        <v/>
      </c>
      <c r="I22" s="355"/>
      <c r="J22" s="846"/>
      <c r="K22" s="847"/>
      <c r="L22" s="571" t="s">
        <v>603</v>
      </c>
      <c r="M22" s="544">
        <v>24</v>
      </c>
      <c r="N22" s="1050"/>
      <c r="O22" s="1050"/>
      <c r="P22" s="875"/>
      <c r="Q22" s="352"/>
      <c r="R22" s="1049" t="s">
        <v>916</v>
      </c>
      <c r="S22" s="861"/>
      <c r="T22" s="435">
        <f>G26</f>
        <v>5.24</v>
      </c>
      <c r="U22" s="435"/>
    </row>
    <row r="23" spans="1:29" ht="14.45" customHeight="1" thickBot="1">
      <c r="A23" s="1025"/>
      <c r="B23" s="477" t="str">
        <f>IFERROR(VLOOKUP(A23,INGREDIENTS!$I$6:$L$24,3,FALSE),"")</f>
        <v/>
      </c>
      <c r="C23" s="478"/>
      <c r="D23" s="479">
        <f t="shared" si="0"/>
        <v>0</v>
      </c>
      <c r="E23" s="534" t="str">
        <f>IFERROR(VLOOKUP(B23,INGREDIENTS!$I$6:$L$37,3,FALSE),"")</f>
        <v/>
      </c>
      <c r="F23" s="535" t="str">
        <f>IFERROR(VLOOKUP(B23,INGREDIENTS!$I$6:$L$37,2,FALSE),"")</f>
        <v/>
      </c>
      <c r="G23" s="536" t="str">
        <f>IFERROR(VLOOKUP(B23,INGREDIENTS!$I$6:$L$37,5,FALSE),"")</f>
        <v/>
      </c>
      <c r="H23" s="537" t="str">
        <f>IFERROR(VLOOKUP(B23,INGREDIENTS!$I$6:$M$37,6,FALSE),"")</f>
        <v/>
      </c>
      <c r="I23" s="362"/>
      <c r="J23" s="846"/>
      <c r="K23" s="847"/>
      <c r="L23" s="243" t="s">
        <v>635</v>
      </c>
      <c r="M23" s="541">
        <v>10</v>
      </c>
      <c r="N23" s="876" t="e">
        <f>(N16-N22)*100/N16</f>
        <v>#DIV/0!</v>
      </c>
      <c r="O23" s="1051"/>
      <c r="P23" s="1052"/>
      <c r="Q23" s="352"/>
      <c r="R23" s="1049" t="s">
        <v>913</v>
      </c>
      <c r="S23" s="861"/>
      <c r="T23" s="435">
        <f>Y5</f>
        <v>7.4</v>
      </c>
      <c r="U23" s="435">
        <f>Y5</f>
        <v>7.4</v>
      </c>
    </row>
    <row r="24" spans="1:29" ht="14.45" customHeight="1" thickBot="1">
      <c r="A24" s="1053" t="s">
        <v>639</v>
      </c>
      <c r="B24" s="494" t="s">
        <v>634</v>
      </c>
      <c r="C24" s="490">
        <f>SUM(C10:C20)</f>
        <v>5500</v>
      </c>
      <c r="D24" s="487">
        <f>SUM(D10:D20)</f>
        <v>0.99999999999999989</v>
      </c>
      <c r="E24" s="1056" t="s">
        <v>2021</v>
      </c>
      <c r="F24" s="1057"/>
      <c r="G24" s="493">
        <v>0.27500000000000002</v>
      </c>
      <c r="H24" s="482" t="s">
        <v>2077</v>
      </c>
      <c r="I24" s="362"/>
      <c r="J24" s="846"/>
      <c r="K24" s="847"/>
      <c r="L24" s="565" t="s">
        <v>636</v>
      </c>
      <c r="M24" s="566"/>
      <c r="N24" s="566"/>
      <c r="O24" s="567"/>
      <c r="P24" s="568">
        <f>((N15-1)*1000)*N16*2.57452-((N21-1)*1000)*N22*2.57452</f>
        <v>0</v>
      </c>
      <c r="Q24" s="352"/>
      <c r="R24" s="1049" t="s">
        <v>869</v>
      </c>
      <c r="S24" s="861"/>
      <c r="T24" s="435">
        <v>5.4</v>
      </c>
      <c r="U24" s="435">
        <v>5.6</v>
      </c>
    </row>
    <row r="25" spans="1:29" ht="14.45" customHeight="1">
      <c r="A25" s="1054"/>
      <c r="B25" s="485" t="s">
        <v>2024</v>
      </c>
      <c r="C25" s="491">
        <f>SUM(C21:C23)</f>
        <v>0</v>
      </c>
      <c r="D25" s="488">
        <f>SUM(D21:D23)</f>
        <v>0</v>
      </c>
      <c r="E25" s="473" t="s">
        <v>2</v>
      </c>
      <c r="F25" s="474" t="s">
        <v>2022</v>
      </c>
      <c r="G25" s="475" t="s">
        <v>23</v>
      </c>
      <c r="H25" s="484">
        <f>1+(SUMPRODUCT(H10:H23,C10:C23,F10:F23)*G24/1000/M16)/258</f>
        <v>1.0447333925495264</v>
      </c>
      <c r="I25" s="362"/>
      <c r="J25" s="846"/>
      <c r="K25" s="847"/>
      <c r="L25" s="571" t="s">
        <v>718</v>
      </c>
      <c r="M25" s="864">
        <v>10</v>
      </c>
      <c r="N25" s="865"/>
      <c r="O25" s="866">
        <v>80</v>
      </c>
      <c r="P25" s="867"/>
      <c r="Q25" s="352"/>
      <c r="R25" s="1049" t="s">
        <v>915</v>
      </c>
      <c r="S25" s="861"/>
      <c r="T25" s="436">
        <v>20</v>
      </c>
      <c r="U25" s="436">
        <v>14</v>
      </c>
    </row>
    <row r="26" spans="1:29" ht="14.45" customHeight="1" thickBot="1">
      <c r="A26" s="1055"/>
      <c r="B26" s="486" t="s">
        <v>2023</v>
      </c>
      <c r="C26" s="492">
        <f>SUM(C10:C23)</f>
        <v>5500</v>
      </c>
      <c r="D26" s="489">
        <f>SUM(D10:D23)</f>
        <v>0.99999999999999989</v>
      </c>
      <c r="E26" s="483">
        <f>2.9396*((4.23*SUMPRODUCT(E10:E23,C10:C23)/1000)/M22)^0.6859</f>
        <v>7.2542161035053061</v>
      </c>
      <c r="F26" s="480">
        <f>SUMPRODUCT(F10:F23,C10:C23)/$C$26</f>
        <v>0.68</v>
      </c>
      <c r="G26" s="481">
        <f>SUMPRODUCT(G10:G23,C10:C23)/$C$26</f>
        <v>5.24</v>
      </c>
      <c r="H26" s="476">
        <f>1+(SUMPRODUCT(H10:H23,C10:C23,F10:F23)*G24/1000/M22)/258</f>
        <v>1.0503250666182171</v>
      </c>
      <c r="I26" s="352"/>
      <c r="J26" s="846"/>
      <c r="K26" s="847"/>
      <c r="L26" s="571" t="s">
        <v>716</v>
      </c>
      <c r="M26" s="864">
        <v>2</v>
      </c>
      <c r="N26" s="865"/>
      <c r="O26" s="866">
        <v>80</v>
      </c>
      <c r="P26" s="867"/>
      <c r="Q26" s="352"/>
      <c r="R26" s="1077" t="s">
        <v>914</v>
      </c>
      <c r="S26" s="869"/>
      <c r="T26" s="1079">
        <v>0.8</v>
      </c>
      <c r="U26" s="1081">
        <v>0.8</v>
      </c>
    </row>
    <row r="27" spans="1:29" ht="17.25" customHeight="1" thickBot="1">
      <c r="A27" s="352"/>
      <c r="B27" s="352"/>
      <c r="C27" s="352"/>
      <c r="D27" s="352"/>
      <c r="E27" s="352"/>
      <c r="F27" s="352"/>
      <c r="G27" s="352"/>
      <c r="H27" s="352"/>
      <c r="I27" s="355"/>
      <c r="J27" s="846"/>
      <c r="K27" s="847"/>
      <c r="L27" s="571" t="s">
        <v>717</v>
      </c>
      <c r="M27" s="864">
        <v>30</v>
      </c>
      <c r="N27" s="865"/>
      <c r="O27" s="866">
        <v>80</v>
      </c>
      <c r="P27" s="867"/>
      <c r="Q27" s="352"/>
      <c r="R27" s="1078"/>
      <c r="S27" s="871"/>
      <c r="T27" s="1080"/>
      <c r="U27" s="1082"/>
    </row>
    <row r="28" spans="1:29" ht="14.45" customHeight="1" thickBot="1">
      <c r="A28" s="853" t="s">
        <v>643</v>
      </c>
      <c r="B28" s="415" t="s">
        <v>2073</v>
      </c>
      <c r="C28" s="856" t="s">
        <v>588</v>
      </c>
      <c r="D28" s="878"/>
      <c r="E28" s="878"/>
      <c r="F28" s="878"/>
      <c r="G28" s="857"/>
      <c r="H28" s="347" t="s">
        <v>644</v>
      </c>
      <c r="I28" s="363"/>
      <c r="J28" s="848"/>
      <c r="K28" s="849"/>
      <c r="L28" s="572" t="s">
        <v>718</v>
      </c>
      <c r="M28" s="887">
        <v>35</v>
      </c>
      <c r="N28" s="888"/>
      <c r="O28" s="889">
        <v>22</v>
      </c>
      <c r="P28" s="890"/>
      <c r="Q28" s="352"/>
      <c r="R28" s="1075" t="s">
        <v>644</v>
      </c>
      <c r="S28" s="1076"/>
      <c r="T28" s="437">
        <f>((POWER(10,-T24)-POWER(10,-T23))*T25)/(T26/100)/(1.206/1000)</f>
        <v>8.170109843448623</v>
      </c>
      <c r="U28" s="437">
        <f>((POWER(10,-U24)-POWER(10,-U23))*U25)/(U26/100)/(1.206/1000)</f>
        <v>3.5871745441914626</v>
      </c>
    </row>
    <row r="29" spans="1:29" ht="14.45" customHeight="1" thickBot="1">
      <c r="A29" s="854"/>
      <c r="B29" s="452" t="s">
        <v>848</v>
      </c>
      <c r="C29" s="410"/>
      <c r="D29" s="411" t="s">
        <v>2315</v>
      </c>
      <c r="E29" s="411"/>
      <c r="F29" s="411"/>
      <c r="G29" s="411"/>
      <c r="H29" s="348" t="s">
        <v>1840</v>
      </c>
      <c r="I29" s="363"/>
      <c r="J29" s="365" t="s">
        <v>714</v>
      </c>
      <c r="K29" s="366"/>
      <c r="L29" s="352"/>
      <c r="M29" s="352"/>
      <c r="N29" s="352"/>
      <c r="O29" s="352"/>
      <c r="P29" s="352"/>
      <c r="Q29" s="352"/>
    </row>
    <row r="30" spans="1:29" ht="15" customHeight="1">
      <c r="A30" s="854"/>
      <c r="B30" s="452"/>
      <c r="C30" s="410"/>
      <c r="D30" s="411"/>
      <c r="E30" s="411"/>
      <c r="F30" s="411"/>
      <c r="G30" s="411"/>
      <c r="H30" s="348"/>
      <c r="I30" s="363"/>
      <c r="J30" s="891" t="s">
        <v>638</v>
      </c>
      <c r="K30" s="892"/>
      <c r="L30" s="179"/>
      <c r="M30" s="545" t="s">
        <v>737</v>
      </c>
      <c r="N30" s="897" t="s">
        <v>630</v>
      </c>
      <c r="O30" s="1044"/>
      <c r="P30" s="1045"/>
      <c r="Q30" s="352"/>
      <c r="R30" s="1058" t="s">
        <v>1922</v>
      </c>
      <c r="S30" s="1059"/>
      <c r="T30" s="1059"/>
      <c r="U30" s="1060"/>
      <c r="W30" s="1061" t="s">
        <v>2005</v>
      </c>
      <c r="X30" s="1062"/>
      <c r="Y30" s="1062"/>
      <c r="Z30" s="1062"/>
      <c r="AA30" s="1063"/>
    </row>
    <row r="31" spans="1:29" ht="15.6" customHeight="1">
      <c r="A31" s="854"/>
      <c r="B31" s="452"/>
      <c r="C31" s="410"/>
      <c r="D31" s="411"/>
      <c r="E31" s="411"/>
      <c r="F31" s="411"/>
      <c r="G31" s="411"/>
      <c r="H31" s="348"/>
      <c r="I31" s="363"/>
      <c r="J31" s="893"/>
      <c r="K31" s="894"/>
      <c r="L31" s="49" t="s">
        <v>604</v>
      </c>
      <c r="M31" s="546">
        <v>1.0549999999999999</v>
      </c>
      <c r="N31" s="1064">
        <v>1.054</v>
      </c>
      <c r="O31" s="1065"/>
      <c r="P31" s="1066"/>
      <c r="Q31" s="352"/>
      <c r="R31" s="630"/>
      <c r="S31" s="631"/>
      <c r="T31" s="407" t="s">
        <v>615</v>
      </c>
      <c r="U31" s="438" t="s">
        <v>2093</v>
      </c>
      <c r="W31" s="633" t="s">
        <v>2006</v>
      </c>
      <c r="X31" s="668"/>
      <c r="Y31" s="431" t="s">
        <v>1851</v>
      </c>
      <c r="Z31" s="431" t="s">
        <v>646</v>
      </c>
      <c r="AA31" s="434" t="s">
        <v>2007</v>
      </c>
    </row>
    <row r="32" spans="1:29" ht="15.6" customHeight="1">
      <c r="A32" s="587"/>
      <c r="B32" s="452"/>
      <c r="C32" s="410"/>
      <c r="D32" s="411"/>
      <c r="E32" s="411"/>
      <c r="F32" s="411"/>
      <c r="G32" s="411"/>
      <c r="H32" s="348"/>
      <c r="I32" s="363"/>
      <c r="J32" s="893"/>
      <c r="K32" s="894"/>
      <c r="L32" s="49" t="s">
        <v>603</v>
      </c>
      <c r="M32" s="547">
        <v>20</v>
      </c>
      <c r="N32" s="1067">
        <v>20</v>
      </c>
      <c r="O32" s="1068"/>
      <c r="P32" s="1069"/>
      <c r="Q32" s="352"/>
      <c r="R32" s="1070" t="s">
        <v>1924</v>
      </c>
      <c r="S32" s="1071"/>
      <c r="T32" s="408"/>
      <c r="U32" s="439"/>
      <c r="W32" s="634"/>
      <c r="X32" s="629"/>
      <c r="Y32" s="432"/>
      <c r="Z32" s="433"/>
      <c r="AA32" s="603">
        <f>W32+0.00352871*(Z32-20)^2+0.225225*(Z32-20)</f>
        <v>-3.0930160000000004</v>
      </c>
    </row>
    <row r="33" spans="1:28" ht="17.100000000000001" customHeight="1" thickBot="1">
      <c r="A33" s="588"/>
      <c r="B33" s="453"/>
      <c r="C33" s="412"/>
      <c r="D33" s="413"/>
      <c r="E33" s="413"/>
      <c r="F33" s="413"/>
      <c r="G33" s="413"/>
      <c r="H33" s="349"/>
      <c r="I33" s="363"/>
      <c r="J33" s="895"/>
      <c r="K33" s="896"/>
      <c r="L33" s="583" t="s">
        <v>642</v>
      </c>
      <c r="M33" s="576">
        <f>(2.57452*M32*(M31-1)*1000)/(F26*C26)</f>
        <v>0.75721176470588147</v>
      </c>
      <c r="N33" s="1072">
        <f>(2.57452*N32*(N31-1)*1000)/(F26*C26)</f>
        <v>0.74344427807486679</v>
      </c>
      <c r="O33" s="1073"/>
      <c r="P33" s="1074"/>
      <c r="Q33" s="352"/>
      <c r="R33" s="1070" t="s">
        <v>1925</v>
      </c>
      <c r="S33" s="1071"/>
      <c r="T33" s="408"/>
      <c r="U33" s="439"/>
      <c r="W33" s="634"/>
      <c r="X33" s="629"/>
      <c r="Y33" s="432"/>
      <c r="Z33" s="433"/>
      <c r="AA33" s="603">
        <f t="shared" ref="AA33:AA38" si="1">W33+0.00352871*(Z33-20)^2+0.225225*(Z33-20)</f>
        <v>-3.0930160000000004</v>
      </c>
    </row>
    <row r="34" spans="1:28" ht="17.100000000000001" customHeight="1" thickBot="1">
      <c r="A34" s="352"/>
      <c r="B34" s="352"/>
      <c r="C34" s="352"/>
      <c r="D34" s="352"/>
      <c r="E34" s="352"/>
      <c r="F34" s="352"/>
      <c r="G34" s="352"/>
      <c r="H34" s="352"/>
      <c r="I34" s="363"/>
      <c r="J34" s="362" t="s">
        <v>714</v>
      </c>
      <c r="K34" s="362"/>
      <c r="L34" s="374"/>
      <c r="M34" s="362"/>
      <c r="N34" s="362"/>
      <c r="O34" s="362"/>
      <c r="P34" s="28"/>
      <c r="Q34" s="352"/>
      <c r="R34" s="1070" t="s">
        <v>1926</v>
      </c>
      <c r="S34" s="1071"/>
      <c r="T34" s="408"/>
      <c r="U34" s="439"/>
      <c r="W34" s="634"/>
      <c r="X34" s="629"/>
      <c r="Y34" s="432"/>
      <c r="Z34" s="433"/>
      <c r="AA34" s="603">
        <f t="shared" si="1"/>
        <v>-3.0930160000000004</v>
      </c>
    </row>
    <row r="35" spans="1:28" ht="17.100000000000001" customHeight="1">
      <c r="A35" s="884" t="s">
        <v>649</v>
      </c>
      <c r="B35" s="157" t="s">
        <v>2073</v>
      </c>
      <c r="C35" s="157" t="s">
        <v>633</v>
      </c>
      <c r="D35" s="157" t="s">
        <v>2080</v>
      </c>
      <c r="E35" s="157" t="s">
        <v>647</v>
      </c>
      <c r="F35" s="157" t="s">
        <v>646</v>
      </c>
      <c r="G35" s="259" t="s">
        <v>2011</v>
      </c>
      <c r="H35" s="158" t="s">
        <v>651</v>
      </c>
      <c r="I35" s="363"/>
      <c r="J35" s="1108" t="s">
        <v>645</v>
      </c>
      <c r="K35" s="1109"/>
      <c r="L35" s="552" t="s">
        <v>2074</v>
      </c>
      <c r="M35" s="553" t="s">
        <v>646</v>
      </c>
      <c r="N35" s="554" t="s">
        <v>647</v>
      </c>
      <c r="O35" s="555" t="s">
        <v>78</v>
      </c>
      <c r="P35" s="556" t="s">
        <v>605</v>
      </c>
      <c r="Q35" s="352"/>
      <c r="R35" s="1070" t="s">
        <v>1927</v>
      </c>
      <c r="S35" s="1071"/>
      <c r="T35" s="408"/>
      <c r="U35" s="439"/>
      <c r="W35" s="634"/>
      <c r="X35" s="629"/>
      <c r="Y35" s="432"/>
      <c r="Z35" s="433"/>
      <c r="AA35" s="603">
        <f t="shared" si="1"/>
        <v>-3.0930160000000004</v>
      </c>
      <c r="AB35" s="403"/>
    </row>
    <row r="36" spans="1:28" ht="14.45" customHeight="1">
      <c r="A36" s="885"/>
      <c r="B36" s="402" t="s">
        <v>863</v>
      </c>
      <c r="C36" s="139">
        <v>100</v>
      </c>
      <c r="D36" s="402" t="s">
        <v>599</v>
      </c>
      <c r="E36" s="138">
        <v>60</v>
      </c>
      <c r="F36" s="470" t="s">
        <v>2016</v>
      </c>
      <c r="G36" s="574">
        <f>IFERROR(VLOOKUP(B36,INGREDIENTS!$R$6:$U$171,4,FALSE), "")</f>
        <v>8.3000000000000004E-2</v>
      </c>
      <c r="H36" s="575">
        <f>IFERROR((VLOOKUP(D36,INGREDIENTS!$AA$6:$AB$14,2,FALSE))*((1.65*(0.000125^($M$31-1))*((1-EXP(-0.04*E36))/4.15))*G36*C36*1000)/($M$32),"")</f>
        <v>22.87982086426452</v>
      </c>
      <c r="I36" s="363"/>
      <c r="J36" s="1110"/>
      <c r="K36" s="920"/>
      <c r="L36" s="428" t="s">
        <v>807</v>
      </c>
      <c r="M36" s="44">
        <v>22</v>
      </c>
      <c r="N36" s="45"/>
      <c r="O36" s="46" t="s">
        <v>667</v>
      </c>
      <c r="P36" s="557">
        <v>46005</v>
      </c>
      <c r="Q36" s="352"/>
      <c r="R36" s="1070" t="s">
        <v>1928</v>
      </c>
      <c r="S36" s="1071"/>
      <c r="T36" s="409">
        <v>1.54</v>
      </c>
      <c r="U36" s="440"/>
      <c r="W36" s="667"/>
      <c r="X36" s="632"/>
      <c r="Y36" s="601"/>
      <c r="Z36" s="602"/>
      <c r="AA36" s="603">
        <f t="shared" si="1"/>
        <v>-3.0930160000000004</v>
      </c>
      <c r="AB36" s="403"/>
    </row>
    <row r="37" spans="1:28" ht="14.45" customHeight="1">
      <c r="A37" s="885"/>
      <c r="B37" s="402" t="s">
        <v>863</v>
      </c>
      <c r="C37" s="139">
        <v>70</v>
      </c>
      <c r="D37" s="402" t="s">
        <v>2570</v>
      </c>
      <c r="E37" s="138">
        <v>15</v>
      </c>
      <c r="F37" s="470" t="s">
        <v>2017</v>
      </c>
      <c r="G37" s="574">
        <f>IFERROR(VLOOKUP(B37,INGREDIENTS!$R$6:$U$171,4,FALSE), "")</f>
        <v>8.3000000000000004E-2</v>
      </c>
      <c r="H37" s="575">
        <f>IFERROR((VLOOKUP(D37,INGREDIENTS!$AA$6:$AB$14,2,FALSE))*((1.65*(0.000125^($M$31-1))*((1-EXP(-0.04*E37))/4.15))*G37*C37*1000)/($M$32),"")</f>
        <v>10.808087269000286</v>
      </c>
      <c r="I37" s="363"/>
      <c r="J37" s="1110"/>
      <c r="K37" s="920"/>
      <c r="L37" s="425" t="s">
        <v>1942</v>
      </c>
      <c r="M37" s="44">
        <v>20</v>
      </c>
      <c r="N37" s="45" t="s">
        <v>1862</v>
      </c>
      <c r="O37" s="46" t="s">
        <v>1930</v>
      </c>
      <c r="P37" s="557" t="s">
        <v>1999</v>
      </c>
      <c r="Q37" s="352"/>
      <c r="R37" s="1070" t="s">
        <v>1929</v>
      </c>
      <c r="S37" s="1071"/>
      <c r="T37" s="408"/>
      <c r="U37" s="439"/>
      <c r="W37" s="634"/>
      <c r="X37" s="629"/>
      <c r="Y37" s="432"/>
      <c r="Z37" s="433"/>
      <c r="AA37" s="603">
        <f t="shared" si="1"/>
        <v>-3.0930160000000004</v>
      </c>
      <c r="AB37" s="403"/>
    </row>
    <row r="38" spans="1:28" ht="14.45" customHeight="1" thickBot="1">
      <c r="A38" s="885"/>
      <c r="B38" s="402" t="s">
        <v>863</v>
      </c>
      <c r="C38" s="139">
        <v>30</v>
      </c>
      <c r="D38" s="402" t="s">
        <v>1942</v>
      </c>
      <c r="E38" s="138" t="s">
        <v>1862</v>
      </c>
      <c r="F38" s="470">
        <v>20</v>
      </c>
      <c r="G38" s="574">
        <f>IFERROR(VLOOKUP(B38,INGREDIENTS!$R$6:$U$171,4,FALSE), "")</f>
        <v>8.3000000000000004E-2</v>
      </c>
      <c r="H38" s="575" t="str">
        <f>IFERROR((VLOOKUP(D38,INGREDIENTS!$AA$6:$AB$14,2,FALSE))*((1.65*(0.000125^($M$31-1))*((1-EXP(-0.04*E38))/4.15))*G38*C38*1000)/($M$32),"")</f>
        <v/>
      </c>
      <c r="I38" s="363"/>
      <c r="J38" s="1110"/>
      <c r="K38" s="920"/>
      <c r="L38" s="425" t="s">
        <v>1988</v>
      </c>
      <c r="M38" s="44">
        <v>20</v>
      </c>
      <c r="N38" s="45" t="s">
        <v>1863</v>
      </c>
      <c r="O38" s="46" t="s">
        <v>2316</v>
      </c>
      <c r="P38" s="557" t="s">
        <v>2000</v>
      </c>
      <c r="Q38" s="352"/>
      <c r="R38" s="1128" t="s">
        <v>1923</v>
      </c>
      <c r="S38" s="1129"/>
      <c r="T38" s="448">
        <f>T28</f>
        <v>8.170109843448623</v>
      </c>
      <c r="U38" s="449">
        <f>U28</f>
        <v>3.5871745441914626</v>
      </c>
      <c r="W38" s="628"/>
      <c r="X38" s="669"/>
      <c r="Y38" s="599"/>
      <c r="Z38" s="600"/>
      <c r="AA38" s="604">
        <f t="shared" si="1"/>
        <v>-3.0930160000000004</v>
      </c>
      <c r="AB38" s="403"/>
    </row>
    <row r="39" spans="1:28" ht="14.45" customHeight="1" thickBot="1">
      <c r="A39" s="885"/>
      <c r="B39" s="402" t="s">
        <v>863</v>
      </c>
      <c r="C39" s="139">
        <v>100</v>
      </c>
      <c r="D39" s="402" t="s">
        <v>598</v>
      </c>
      <c r="E39" s="138" t="s">
        <v>1863</v>
      </c>
      <c r="F39" s="470">
        <v>15</v>
      </c>
      <c r="G39" s="574">
        <f>IFERROR(VLOOKUP(B39,INGREDIENTS!$R$6:$U$171,4,FALSE), "")</f>
        <v>8.3000000000000004E-2</v>
      </c>
      <c r="H39" s="575" t="str">
        <f>IFERROR((VLOOKUP(D39,INGREDIENTS!$AA$6:$AB$14,2,FALSE))*((1.65*(0.000125^($M$31-1))*((1-EXP(-0.04*E39))/4.15))*G39*C39*1000)/($M$32),"")</f>
        <v/>
      </c>
      <c r="I39" s="363"/>
      <c r="J39" s="1110"/>
      <c r="K39" s="920"/>
      <c r="L39" s="425" t="s">
        <v>1962</v>
      </c>
      <c r="M39" s="44">
        <v>20</v>
      </c>
      <c r="N39" s="45" t="s">
        <v>2318</v>
      </c>
      <c r="O39" s="46" t="s">
        <v>2317</v>
      </c>
      <c r="P39" s="557">
        <v>46010</v>
      </c>
      <c r="Q39" s="352"/>
      <c r="R39" s="1130"/>
      <c r="S39" s="1131"/>
      <c r="T39" s="611">
        <f>T38*0.96*1000/O3</f>
        <v>392.16527248553388</v>
      </c>
      <c r="U39" s="612">
        <f>U38*0.96*1000/M11</f>
        <v>245.97768303027172</v>
      </c>
      <c r="AB39" s="403"/>
    </row>
    <row r="40" spans="1:28" ht="17.45" customHeight="1" thickBot="1">
      <c r="A40" s="885"/>
      <c r="B40" s="402" t="s">
        <v>863</v>
      </c>
      <c r="C40" s="139">
        <v>100</v>
      </c>
      <c r="D40" s="402" t="s">
        <v>1940</v>
      </c>
      <c r="E40" s="138" t="s">
        <v>861</v>
      </c>
      <c r="F40" s="470">
        <v>15</v>
      </c>
      <c r="G40" s="574">
        <f>IFERROR(VLOOKUP(B40,INGREDIENTS!$R$6:$U$171,4,FALSE), "")</f>
        <v>8.3000000000000004E-2</v>
      </c>
      <c r="H40" s="575" t="str">
        <f>IFERROR((VLOOKUP(D40,INGREDIENTS!$AA$6:$AB$14,2,FALSE))*((1.65*(0.000125^($M$31-1))*((1-EXP(-0.04*E40))/4.15))*G40*C40*1000)/($M$32),"")</f>
        <v/>
      </c>
      <c r="I40" s="364"/>
      <c r="J40" s="1110"/>
      <c r="K40" s="920"/>
      <c r="L40" s="425" t="s">
        <v>1967</v>
      </c>
      <c r="M40" s="44" t="s">
        <v>2320</v>
      </c>
      <c r="N40" s="45" t="s">
        <v>1993</v>
      </c>
      <c r="O40" s="46" t="s">
        <v>2319</v>
      </c>
      <c r="P40" s="557">
        <v>46011</v>
      </c>
      <c r="Q40" s="352"/>
      <c r="AB40" s="403"/>
    </row>
    <row r="41" spans="1:28" ht="14.45" customHeight="1">
      <c r="A41" s="885"/>
      <c r="B41" s="402"/>
      <c r="C41" s="139"/>
      <c r="D41" s="402"/>
      <c r="E41" s="138"/>
      <c r="F41" s="470"/>
      <c r="G41" s="574" t="str">
        <f>IFERROR(VLOOKUP(B41,INGREDIENTS!$R$6:$U$171,4,FALSE), "")</f>
        <v/>
      </c>
      <c r="H41" s="575" t="str">
        <f>IFERROR((VLOOKUP(D41,INGREDIENTS!$AA$6:$AB$14,2,FALSE))*((1.65*(0.000125^($M$31-1))*((1-EXP(-0.04*E41))/4.15))*G41*C41*1000)/($M$32),"")</f>
        <v/>
      </c>
      <c r="I41" s="362"/>
      <c r="J41" s="1110"/>
      <c r="K41" s="920"/>
      <c r="L41" s="425"/>
      <c r="M41" s="44"/>
      <c r="N41" s="45"/>
      <c r="O41" s="46"/>
      <c r="P41" s="558">
        <v>46012</v>
      </c>
      <c r="Q41" s="352"/>
      <c r="R41" s="1132" t="s">
        <v>675</v>
      </c>
      <c r="S41" s="1133"/>
      <c r="T41" s="1134"/>
      <c r="AB41" s="403"/>
    </row>
    <row r="42" spans="1:28" ht="14.45" customHeight="1">
      <c r="A42" s="885"/>
      <c r="B42" s="402"/>
      <c r="C42" s="139"/>
      <c r="D42" s="402"/>
      <c r="E42" s="138"/>
      <c r="F42" s="470"/>
      <c r="G42" s="574" t="str">
        <f>IFERROR(VLOOKUP(B42,INGREDIENTS!$R$6:$U$171,4,FALSE), "")</f>
        <v/>
      </c>
      <c r="H42" s="575" t="str">
        <f>IFERROR((VLOOKUP(D42,INGREDIENTS!$AA$6:$AB$14,2,FALSE))*((1.65*(0.000125^($M$31-1))*((1-EXP(-0.04*E42))/4.15))*G42*C42*1000)/($M$32),"")</f>
        <v/>
      </c>
      <c r="I42" s="361"/>
      <c r="J42" s="1110"/>
      <c r="K42" s="920"/>
      <c r="L42" s="425"/>
      <c r="M42" s="44"/>
      <c r="N42" s="45"/>
      <c r="O42" s="46"/>
      <c r="P42" s="558">
        <v>46013</v>
      </c>
      <c r="Q42" s="352"/>
      <c r="R42" s="1127" t="s">
        <v>676</v>
      </c>
      <c r="S42" s="830"/>
      <c r="T42" s="441"/>
      <c r="AB42" s="403"/>
    </row>
    <row r="43" spans="1:28" ht="14.45" customHeight="1">
      <c r="A43" s="885"/>
      <c r="B43" s="402"/>
      <c r="C43" s="139"/>
      <c r="D43" s="402"/>
      <c r="E43" s="138"/>
      <c r="F43" s="470"/>
      <c r="G43" s="574" t="str">
        <f>IFERROR(VLOOKUP(B43,INGREDIENTS!$R$6:$U$171,4,FALSE), "")</f>
        <v/>
      </c>
      <c r="H43" s="575" t="str">
        <f>IFERROR((VLOOKUP(D43,INGREDIENTS!$AA$6:$AB$14,2,FALSE))*((1.65*(0.000125^($M$31-1))*((1-EXP(-0.04*E43))/4.15))*G43*C43*1000)/($M$32),"")</f>
        <v/>
      </c>
      <c r="I43" s="360"/>
      <c r="J43" s="1110"/>
      <c r="K43" s="920"/>
      <c r="L43" s="426"/>
      <c r="M43" s="430"/>
      <c r="N43" s="429"/>
      <c r="O43" s="429"/>
      <c r="P43" s="558">
        <v>46013</v>
      </c>
      <c r="Q43" s="352"/>
      <c r="R43" s="1127" t="s">
        <v>677</v>
      </c>
      <c r="S43" s="830"/>
      <c r="T43" s="442"/>
      <c r="AB43" s="405"/>
    </row>
    <row r="44" spans="1:28" ht="14.45" customHeight="1">
      <c r="A44" s="885"/>
      <c r="B44" s="402"/>
      <c r="C44" s="139"/>
      <c r="D44" s="402"/>
      <c r="E44" s="138"/>
      <c r="F44" s="470"/>
      <c r="G44" s="574" t="str">
        <f>IFERROR(VLOOKUP(B44,INGREDIENTS!$R$6:$U$171,4,FALSE), "")</f>
        <v/>
      </c>
      <c r="H44" s="575" t="str">
        <f>IFERROR((VLOOKUP(D44,INGREDIENTS!$AA$6:$AB$14,2,FALSE))*((1.65*(0.000125^($M$31-1))*((1-EXP(-0.04*E44))/4.15))*G44*C44*1000)/($M$32),"")</f>
        <v/>
      </c>
      <c r="I44" s="360"/>
      <c r="J44" s="1110"/>
      <c r="K44" s="920"/>
      <c r="L44" s="427" t="s">
        <v>1985</v>
      </c>
      <c r="M44" s="424"/>
      <c r="N44" s="119"/>
      <c r="O44" s="429" t="s">
        <v>2321</v>
      </c>
      <c r="P44" s="558">
        <v>46015</v>
      </c>
      <c r="Q44" s="352"/>
      <c r="R44" s="1127" t="s">
        <v>678</v>
      </c>
      <c r="S44" s="830"/>
      <c r="T44" s="441"/>
      <c r="AB44" s="406"/>
    </row>
    <row r="45" spans="1:28" ht="14.45" customHeight="1">
      <c r="A45" s="885"/>
      <c r="B45" s="402"/>
      <c r="C45" s="139"/>
      <c r="D45" s="402"/>
      <c r="E45" s="138"/>
      <c r="F45" s="470"/>
      <c r="G45" s="574" t="str">
        <f>IFERROR(VLOOKUP(B45,INGREDIENTS!$R$6:$U$171,4,FALSE), "")</f>
        <v/>
      </c>
      <c r="H45" s="575" t="str">
        <f>IFERROR((VLOOKUP(D45,INGREDIENTS!$AA$6:$AB$14,2,FALSE))*((1.65*(0.000125^($M$31-1))*((1-EXP(-0.04*E45))/4.15))*G45*C45*1000)/($M$32),"")</f>
        <v/>
      </c>
      <c r="I45" s="360"/>
      <c r="J45" s="1110"/>
      <c r="K45" s="920"/>
      <c r="L45" s="427" t="s">
        <v>1991</v>
      </c>
      <c r="M45" s="424"/>
      <c r="N45" s="119" t="s">
        <v>623</v>
      </c>
      <c r="O45" s="429" t="s">
        <v>2321</v>
      </c>
      <c r="P45" s="558">
        <v>46015</v>
      </c>
      <c r="Q45" s="352"/>
      <c r="R45" s="1127" t="s">
        <v>679</v>
      </c>
      <c r="S45" s="830"/>
      <c r="T45" s="443" t="s">
        <v>680</v>
      </c>
    </row>
    <row r="46" spans="1:28" ht="18.600000000000001" customHeight="1">
      <c r="A46" s="885"/>
      <c r="B46" s="402"/>
      <c r="C46" s="139"/>
      <c r="D46" s="402"/>
      <c r="E46" s="138"/>
      <c r="F46" s="470"/>
      <c r="G46" s="574" t="str">
        <f>IFERROR(VLOOKUP(B46,INGREDIENTS!$R$6:$U$171,4,FALSE), "")</f>
        <v/>
      </c>
      <c r="H46" s="575" t="str">
        <f>IFERROR((VLOOKUP(D46,INGREDIENTS!$AA$6:$AB$14,2,FALSE))*((1.65*(0.000125^($M$31-1))*((1-EXP(-0.04*E46))/4.15))*G46*C46*1000)/($M$32),"")</f>
        <v/>
      </c>
      <c r="I46" s="360"/>
      <c r="J46" s="1110"/>
      <c r="K46" s="920"/>
      <c r="L46" s="427" t="s">
        <v>655</v>
      </c>
      <c r="M46" s="424"/>
      <c r="N46" s="119" t="s">
        <v>623</v>
      </c>
      <c r="O46" s="429" t="s">
        <v>2321</v>
      </c>
      <c r="P46" s="558">
        <v>46015</v>
      </c>
      <c r="Q46" s="352"/>
      <c r="R46" s="1127" t="s">
        <v>681</v>
      </c>
      <c r="S46" s="830"/>
      <c r="T46" s="444">
        <f>IF(T45="","",IF(T45="Sucre",(T44-T42)*1000*2.57452,IF(T45="DMS",(T44-T42)*1000*2.66,IF(T45="LMS",(T44-T42)*1000*3.24,IF(T45="Eau",1000*((T42-1)/(T44-1)*T43-T43)/T43)))))</f>
        <v>0</v>
      </c>
    </row>
    <row r="47" spans="1:28" ht="14.45" customHeight="1">
      <c r="A47" s="885"/>
      <c r="B47" s="402"/>
      <c r="C47" s="139"/>
      <c r="D47" s="402"/>
      <c r="E47" s="138"/>
      <c r="F47" s="470"/>
      <c r="G47" s="574" t="str">
        <f>IFERROR(VLOOKUP(B47,INGREDIENTS!$R$6:$U$171,4,FALSE), "")</f>
        <v/>
      </c>
      <c r="H47" s="575" t="str">
        <f>IFERROR((VLOOKUP(D47,INGREDIENTS!$AA$6:$AB$14,2,FALSE))*((1.65*(0.000125^($M$31-1))*((1-EXP(-0.04*E47))/4.15))*G47*C47*1000)/($M$32),"")</f>
        <v/>
      </c>
      <c r="I47" s="352"/>
      <c r="J47" s="1110"/>
      <c r="K47" s="920"/>
      <c r="L47" s="427"/>
      <c r="M47" s="424"/>
      <c r="N47" s="119" t="s">
        <v>623</v>
      </c>
      <c r="O47" s="120" t="s">
        <v>623</v>
      </c>
      <c r="P47" s="559"/>
      <c r="Q47" s="352"/>
      <c r="R47" s="1127" t="s">
        <v>681</v>
      </c>
      <c r="S47" s="830"/>
      <c r="T47" s="445">
        <f>T46*T43</f>
        <v>0</v>
      </c>
    </row>
    <row r="48" spans="1:28" ht="14.45" customHeight="1" thickBot="1">
      <c r="A48" s="885"/>
      <c r="B48" s="402"/>
      <c r="C48" s="139"/>
      <c r="D48" s="402"/>
      <c r="E48" s="138"/>
      <c r="F48" s="470"/>
      <c r="G48" s="574" t="str">
        <f>IFERROR(VLOOKUP(B48,INGREDIENTS!$R$6:$U$171,4,FALSE), "")</f>
        <v/>
      </c>
      <c r="H48" s="575" t="str">
        <f>IFERROR((VLOOKUP(D48,INGREDIENTS!$AA$6:$AB$14,2,FALSE))*((1.65*(0.000125^($M$31-1))*((1-EXP(-0.04*E48))/4.15))*G48*C48*1000)/($M$32),"")</f>
        <v/>
      </c>
      <c r="I48" s="352"/>
      <c r="J48" s="1111"/>
      <c r="K48" s="1112"/>
      <c r="L48" s="560"/>
      <c r="M48" s="561"/>
      <c r="N48" s="562"/>
      <c r="O48" s="563" t="s">
        <v>623</v>
      </c>
      <c r="P48" s="564"/>
      <c r="Q48" s="352"/>
      <c r="R48" s="1127" t="s">
        <v>1920</v>
      </c>
      <c r="S48" s="830"/>
      <c r="T48" s="446">
        <f>SUMPRODUCT(F10:F20,C10:C20)*70/1000/100</f>
        <v>2.6180000000000003</v>
      </c>
    </row>
    <row r="49" spans="1:28" ht="14.45" customHeight="1" thickBot="1">
      <c r="A49" s="885"/>
      <c r="B49" s="402"/>
      <c r="C49" s="139"/>
      <c r="D49" s="402"/>
      <c r="E49" s="138"/>
      <c r="F49" s="470"/>
      <c r="G49" s="574" t="str">
        <f>IFERROR(VLOOKUP(B49,INGREDIENTS!$R$6:$U$171,4,FALSE), "")</f>
        <v/>
      </c>
      <c r="H49" s="575" t="str">
        <f>IFERROR((VLOOKUP(D49,INGREDIENTS!$AA$6:$AB$14,2,FALSE))*((1.65*(0.000125^($M$31-1))*((1-EXP(-0.04*E49))/4.15))*G49*C49*1000)/($M$32),"")</f>
        <v/>
      </c>
      <c r="I49" s="352"/>
      <c r="J49" s="362" t="s">
        <v>714</v>
      </c>
      <c r="K49" s="362"/>
      <c r="L49" s="374" t="s">
        <v>1864</v>
      </c>
      <c r="M49" s="362"/>
      <c r="N49" s="362"/>
      <c r="O49" s="362"/>
      <c r="P49" s="28"/>
    </row>
    <row r="50" spans="1:28" ht="15" customHeight="1">
      <c r="A50" s="885"/>
      <c r="B50" s="402"/>
      <c r="C50" s="139"/>
      <c r="D50" s="402"/>
      <c r="E50" s="138"/>
      <c r="F50" s="470"/>
      <c r="G50" s="574" t="str">
        <f>IFERROR(VLOOKUP(B50,INGREDIENTS!$R$6:$U$171,4,FALSE), "")</f>
        <v/>
      </c>
      <c r="H50" s="575" t="str">
        <f>IFERROR((VLOOKUP(D50,INGREDIENTS!$AA$6:$AB$14,2,FALSE))*((1.65*(0.000125^($M$31-1))*((1-EXP(-0.04*E50))/4.15))*G50*C50*1000)/($M$32),"")</f>
        <v/>
      </c>
      <c r="I50" s="352"/>
      <c r="J50" s="1084" t="s">
        <v>655</v>
      </c>
      <c r="K50" s="1085"/>
      <c r="L50" s="550"/>
      <c r="M50" s="551" t="s">
        <v>737</v>
      </c>
      <c r="N50" s="1088" t="s">
        <v>630</v>
      </c>
      <c r="O50" s="1089"/>
      <c r="P50" s="1090"/>
      <c r="Q50" s="352"/>
      <c r="R50" s="304"/>
      <c r="S50" s="384"/>
    </row>
    <row r="51" spans="1:28" ht="14.45" customHeight="1" thickBot="1">
      <c r="A51" s="886"/>
      <c r="B51" s="402"/>
      <c r="C51" s="139"/>
      <c r="D51" s="137"/>
      <c r="E51" s="138"/>
      <c r="F51" s="470"/>
      <c r="G51" s="574" t="str">
        <f>IFERROR(VLOOKUP(B51,INGREDIENTS!$R$6:$U$171,4,FALSE), "")</f>
        <v/>
      </c>
      <c r="H51" s="575" t="str">
        <f>IFERROR((VLOOKUP(D51,INGREDIENTS!$AA$6:$AB$14,2,FALSE))*((1.65*(0.000125^($M$31-1))*((1-EXP(-0.04*E51))/4.15))*G51*C51*1000)/($M$32),"")</f>
        <v/>
      </c>
      <c r="I51" s="352"/>
      <c r="J51" s="1086"/>
      <c r="K51" s="1087"/>
      <c r="L51" s="594" t="s">
        <v>603</v>
      </c>
      <c r="M51" s="538">
        <v>20</v>
      </c>
      <c r="N51" s="969">
        <v>18</v>
      </c>
      <c r="O51" s="1091"/>
      <c r="P51" s="1092"/>
      <c r="Q51" s="352"/>
      <c r="R51" s="303"/>
      <c r="S51" s="384"/>
    </row>
    <row r="52" spans="1:28" ht="14.45" customHeight="1" thickBot="1">
      <c r="A52" s="160"/>
      <c r="B52" s="161" t="s">
        <v>656</v>
      </c>
      <c r="C52" s="164">
        <f>SUM(C36:C42)</f>
        <v>400</v>
      </c>
      <c r="D52" s="162"/>
      <c r="E52" s="163" t="s">
        <v>2081</v>
      </c>
      <c r="F52" s="522" cm="1">
        <f t="array" ref="F52">SUMPRODUCT(((D36:D51="DH")+(D36:D51="DDH")+(D36:D51="BioDH"))*C36:C51)/B4</f>
        <v>11.5</v>
      </c>
      <c r="G52" s="464"/>
      <c r="H52" s="165">
        <f>SUM(H36:H51)</f>
        <v>33.687908133264806</v>
      </c>
      <c r="I52" s="352"/>
      <c r="J52" s="1086"/>
      <c r="K52" s="1087"/>
      <c r="L52" s="595" t="s">
        <v>606</v>
      </c>
      <c r="M52" s="548">
        <v>1.012</v>
      </c>
      <c r="N52" s="975">
        <v>1.01</v>
      </c>
      <c r="O52" s="1093"/>
      <c r="P52" s="1094"/>
      <c r="Q52" s="352"/>
    </row>
    <row r="53" spans="1:28" ht="14.45" customHeight="1" thickBot="1">
      <c r="A53" s="352"/>
      <c r="B53" s="352"/>
      <c r="C53" s="352"/>
      <c r="D53" s="352"/>
      <c r="E53" s="352"/>
      <c r="F53" s="352"/>
      <c r="G53" s="352"/>
      <c r="H53" s="352"/>
      <c r="I53" s="352"/>
      <c r="J53" s="1086"/>
      <c r="K53" s="1087"/>
      <c r="L53" s="596" t="s">
        <v>653</v>
      </c>
      <c r="M53" s="573" t="str">
        <f>G55</f>
        <v/>
      </c>
      <c r="N53" s="1095">
        <f>(N31-M52)/(N31-1)</f>
        <v>0.77777777777777779</v>
      </c>
      <c r="O53" s="1096"/>
      <c r="P53" s="1097"/>
      <c r="Q53" s="352"/>
      <c r="AB53" s="405"/>
    </row>
    <row r="54" spans="1:28" ht="14.45" customHeight="1" thickBot="1">
      <c r="A54" s="1098" t="s">
        <v>657</v>
      </c>
      <c r="B54" s="454" t="s">
        <v>2073</v>
      </c>
      <c r="C54" s="455" t="s">
        <v>752</v>
      </c>
      <c r="D54" s="454" t="s">
        <v>2075</v>
      </c>
      <c r="E54" s="454" t="s">
        <v>69</v>
      </c>
      <c r="F54" s="454" t="s">
        <v>70</v>
      </c>
      <c r="G54" s="520" t="s">
        <v>658</v>
      </c>
      <c r="H54" s="456"/>
      <c r="I54" s="352"/>
      <c r="J54" s="1086"/>
      <c r="K54" s="1087"/>
      <c r="L54" s="594" t="s">
        <v>659</v>
      </c>
      <c r="M54" s="549">
        <f>(76.08*(M31-M52)/(1.775-M31))*(M52/0.794)</f>
        <v>5.7911721242653131</v>
      </c>
      <c r="N54" s="1100">
        <f>(76.08*(N31-N52)/(1.775-N31))*(N52/0.794)</f>
        <v>5.9059366888277953</v>
      </c>
      <c r="O54" s="1101"/>
      <c r="P54" s="1102"/>
      <c r="Q54" s="352"/>
      <c r="S54" s="383"/>
      <c r="AB54" s="404"/>
    </row>
    <row r="55" spans="1:28" ht="14.45" customHeight="1" thickBot="1">
      <c r="A55" s="1099"/>
      <c r="B55" s="350" t="s">
        <v>862</v>
      </c>
      <c r="C55" s="293" t="s">
        <v>735</v>
      </c>
      <c r="D55" s="240">
        <v>22</v>
      </c>
      <c r="E55" s="240" t="str">
        <f>IFERROR(VLOOKUP(B55,INGREDIENTS!$AF$6:$AT$401,7,FALSE),"")</f>
        <v/>
      </c>
      <c r="F55" s="240" t="str">
        <f>IFERROR(VLOOKUP(B55,INGREDIENTS!$AF$6:$AT$401,8,FALSE),"")</f>
        <v/>
      </c>
      <c r="G55" s="414" t="str">
        <f>IFERROR(VLOOKUP(B55,INGREDIENTS!$AF$6:$AT$401,6,FALSE),"")</f>
        <v/>
      </c>
      <c r="H55" s="457"/>
      <c r="I55" s="352"/>
      <c r="J55" s="1086"/>
      <c r="K55" s="1087"/>
      <c r="L55" s="1103" t="s">
        <v>2082</v>
      </c>
      <c r="M55" s="1104"/>
      <c r="N55" s="1105">
        <v>2.2999999999999998</v>
      </c>
      <c r="O55" s="1105"/>
      <c r="P55" s="1106"/>
      <c r="Q55" s="352"/>
      <c r="AB55" s="405"/>
    </row>
    <row r="56" spans="1:28" ht="14.45" customHeight="1">
      <c r="A56" s="585"/>
      <c r="B56" s="3"/>
      <c r="C56" s="293"/>
      <c r="D56" s="240"/>
      <c r="E56" s="240" t="str">
        <f>IFERROR(VLOOKUP(B56,INGREDIENTS!$AF$6:$AT$401,7,FALSE),"")</f>
        <v/>
      </c>
      <c r="F56" s="240" t="str">
        <f>IFERROR(VLOOKUP(B56,INGREDIENTS!$AF$6:$AT$401,8,FALSE),"")</f>
        <v/>
      </c>
      <c r="G56" s="414" t="str">
        <f>IFERROR(VLOOKUP(B56,INGREDIENTS!$AF$6:$AT$401,6,FALSE),"")</f>
        <v/>
      </c>
      <c r="H56" s="457"/>
      <c r="I56" s="352"/>
      <c r="J56" s="1086"/>
      <c r="K56" s="1087"/>
      <c r="L56" s="958" t="s">
        <v>661</v>
      </c>
      <c r="M56" s="1107"/>
      <c r="N56" s="1113" t="s">
        <v>662</v>
      </c>
      <c r="O56" s="1114"/>
      <c r="P56" s="607" t="s">
        <v>721</v>
      </c>
      <c r="Q56" s="352"/>
      <c r="S56" s="383"/>
      <c r="AB56" s="406"/>
    </row>
    <row r="57" spans="1:28" ht="14.45" customHeight="1" thickBot="1">
      <c r="A57" s="585"/>
      <c r="B57" s="3"/>
      <c r="C57" s="293"/>
      <c r="D57" s="240"/>
      <c r="E57" s="240" t="str">
        <f>IFERROR(VLOOKUP(B57,INGREDIENTS!$AF$6:$AT$401,7,FALSE),"")</f>
        <v/>
      </c>
      <c r="F57" s="240" t="str">
        <f>IFERROR(VLOOKUP(B57,INGREDIENTS!$AF$6:$AT$401,8,FALSE),"")</f>
        <v/>
      </c>
      <c r="G57" s="414" t="str">
        <f>IFERROR(VLOOKUP(B57,INGREDIENTS!$AF$6:$AT$401,6,FALSE),"")</f>
        <v/>
      </c>
      <c r="H57" s="457"/>
      <c r="I57" s="352"/>
      <c r="J57" s="1086"/>
      <c r="K57" s="963"/>
      <c r="L57" s="1117">
        <f>N55*3.941-2.804</f>
        <v>6.2602999999999991</v>
      </c>
      <c r="M57" s="1118"/>
      <c r="N57" s="1119">
        <f>L57*M51</f>
        <v>125.20599999999999</v>
      </c>
      <c r="O57" s="1120"/>
      <c r="P57" s="608">
        <v>1</v>
      </c>
      <c r="Q57" s="352"/>
      <c r="AB57" s="405"/>
    </row>
    <row r="58" spans="1:28" ht="14.45" customHeight="1" thickBot="1">
      <c r="A58" s="586"/>
      <c r="B58" s="458"/>
      <c r="C58" s="459"/>
      <c r="D58" s="460"/>
      <c r="E58" s="460" t="str">
        <f>IFERROR(VLOOKUP(B58,INGREDIENTS!$AF$6:$AT$401,7,FALSE),"")</f>
        <v/>
      </c>
      <c r="F58" s="460" t="str">
        <f>IFERROR(VLOOKUP(B58,INGREDIENTS!$AF$6:$AT$401,8,FALSE),"")</f>
        <v/>
      </c>
      <c r="G58" s="461" t="str">
        <f>IFERROR(VLOOKUP(B58,INGREDIENTS!$AF$6:$AT$401,6,FALSE),"")</f>
        <v/>
      </c>
      <c r="H58" s="462"/>
      <c r="I58" s="352"/>
      <c r="J58" s="1086"/>
      <c r="K58" s="963"/>
      <c r="L58" s="1121" t="s">
        <v>722</v>
      </c>
      <c r="M58" s="1122"/>
      <c r="N58" s="1123"/>
      <c r="O58" s="569" t="s">
        <v>2078</v>
      </c>
      <c r="P58" s="577">
        <f>L57*0.75*1000/(N57/P57)</f>
        <v>37.499999999999993</v>
      </c>
      <c r="Q58" s="352"/>
      <c r="S58" s="383"/>
    </row>
    <row r="59" spans="1:28" ht="15" customHeight="1" thickBot="1">
      <c r="A59" s="352"/>
      <c r="B59" s="352"/>
      <c r="C59" s="352"/>
      <c r="D59" s="352"/>
      <c r="E59" s="352"/>
      <c r="F59" s="352"/>
      <c r="G59" s="352"/>
      <c r="H59" s="352"/>
      <c r="I59" s="352"/>
      <c r="J59" s="1115"/>
      <c r="K59" s="1116"/>
      <c r="L59" s="1124"/>
      <c r="M59" s="1125"/>
      <c r="N59" s="1126"/>
      <c r="O59" s="578" t="s">
        <v>2079</v>
      </c>
      <c r="P59" s="579">
        <f>L57*0.33*1000/(N57/P57)</f>
        <v>16.5</v>
      </c>
      <c r="Q59" s="352"/>
    </row>
    <row r="60" spans="1:28" ht="15" customHeight="1" thickBot="1">
      <c r="A60" s="352"/>
      <c r="B60" s="352"/>
      <c r="C60" s="352"/>
      <c r="D60" s="352"/>
      <c r="E60" s="352"/>
      <c r="F60" s="352"/>
      <c r="G60" s="352"/>
      <c r="H60" s="352"/>
      <c r="I60" s="352"/>
      <c r="J60" s="1083" t="s">
        <v>714</v>
      </c>
      <c r="K60" s="1083"/>
      <c r="L60" s="352"/>
      <c r="M60" s="352"/>
      <c r="N60" s="352"/>
      <c r="O60" s="352"/>
      <c r="P60" s="352"/>
      <c r="Q60" s="352"/>
      <c r="S60" s="383"/>
    </row>
    <row r="61" spans="1:28">
      <c r="A61" s="352"/>
      <c r="B61" s="352"/>
      <c r="C61" s="352"/>
      <c r="D61" s="352"/>
      <c r="E61" s="352"/>
      <c r="F61" s="352"/>
      <c r="G61" s="352"/>
      <c r="H61" s="352"/>
      <c r="I61" s="352"/>
      <c r="L61" s="352"/>
    </row>
    <row r="62" spans="1:28">
      <c r="A62" s="352"/>
      <c r="B62" s="352"/>
      <c r="C62" s="352"/>
      <c r="D62" s="352"/>
      <c r="E62" s="352"/>
      <c r="F62" s="352"/>
      <c r="G62" s="352"/>
      <c r="H62" s="352"/>
      <c r="I62" s="352"/>
      <c r="J62" s="352"/>
      <c r="K62" s="352"/>
      <c r="L62" s="352"/>
      <c r="M62" s="352"/>
      <c r="N62" s="352"/>
      <c r="O62" s="352"/>
      <c r="P62" s="352"/>
    </row>
    <row r="63" spans="1:28">
      <c r="A63" s="352"/>
      <c r="B63" s="352"/>
      <c r="C63" s="352"/>
      <c r="D63" s="352"/>
      <c r="E63" s="352"/>
      <c r="F63" s="352"/>
      <c r="G63" s="352"/>
      <c r="H63" s="352"/>
      <c r="I63" s="352"/>
      <c r="J63" s="352"/>
      <c r="K63" s="352"/>
      <c r="L63" s="352"/>
      <c r="M63" s="352"/>
      <c r="N63" s="352"/>
      <c r="O63" s="352"/>
      <c r="P63" s="352"/>
    </row>
    <row r="64" spans="1:28">
      <c r="A64" s="352"/>
      <c r="B64" s="352"/>
      <c r="C64" s="352"/>
      <c r="D64" s="352"/>
      <c r="E64" s="352"/>
      <c r="F64" s="352"/>
      <c r="G64" s="352"/>
      <c r="H64" s="352"/>
      <c r="I64" s="352"/>
      <c r="J64" s="352"/>
      <c r="K64" s="352"/>
      <c r="L64" s="352"/>
      <c r="M64" s="352"/>
      <c r="N64" s="352"/>
      <c r="O64" s="352"/>
      <c r="P64" s="401"/>
    </row>
    <row r="65" spans="1:22">
      <c r="A65" s="352"/>
      <c r="B65" s="352"/>
      <c r="C65" s="352"/>
      <c r="D65" s="352"/>
      <c r="E65" s="352"/>
      <c r="F65" s="352"/>
      <c r="G65" s="352"/>
      <c r="H65" s="352"/>
      <c r="I65" s="352"/>
      <c r="J65" s="352"/>
      <c r="K65" s="352"/>
      <c r="L65" s="352"/>
      <c r="M65" s="352"/>
      <c r="N65" s="352"/>
      <c r="O65" s="352"/>
      <c r="P65" s="401"/>
    </row>
    <row r="66" spans="1:22">
      <c r="P66" s="220"/>
      <c r="Q66" s="221"/>
    </row>
    <row r="67" spans="1:22">
      <c r="B67" s="375"/>
      <c r="C67" s="375"/>
      <c r="D67" s="375"/>
      <c r="E67" s="375"/>
      <c r="F67" s="375"/>
      <c r="G67" s="375"/>
      <c r="H67" s="375"/>
      <c r="P67" s="220"/>
      <c r="Q67" s="221"/>
    </row>
    <row r="68" spans="1:22">
      <c r="B68" s="375"/>
      <c r="C68" s="375"/>
      <c r="D68" s="375"/>
      <c r="E68" s="375"/>
      <c r="F68" s="375"/>
      <c r="G68" s="375"/>
      <c r="H68" s="375"/>
      <c r="P68" s="222"/>
      <c r="Q68" s="223"/>
      <c r="S68" s="225"/>
      <c r="T68" s="226"/>
      <c r="V68" s="18"/>
    </row>
    <row r="69" spans="1:22">
      <c r="B69" s="375"/>
      <c r="C69" s="375"/>
      <c r="D69" s="375"/>
      <c r="E69" s="375"/>
      <c r="F69" s="375"/>
      <c r="G69" s="375"/>
      <c r="H69" s="375"/>
      <c r="P69" s="222"/>
      <c r="Q69" s="223"/>
    </row>
    <row r="70" spans="1:22">
      <c r="B70" s="375"/>
      <c r="C70" s="375"/>
      <c r="D70" s="375"/>
      <c r="E70" s="375"/>
      <c r="F70" s="375"/>
      <c r="G70" s="375"/>
      <c r="H70" s="375"/>
      <c r="P70" s="220"/>
      <c r="Q70" s="224"/>
      <c r="S70" s="225"/>
      <c r="T70" s="226"/>
      <c r="V70" s="18"/>
    </row>
    <row r="71" spans="1:22">
      <c r="B71" s="375"/>
      <c r="C71" s="375"/>
      <c r="D71" s="375"/>
      <c r="E71" s="375"/>
      <c r="F71" s="375"/>
      <c r="G71" s="375"/>
      <c r="H71" s="375"/>
    </row>
    <row r="72" spans="1:22">
      <c r="B72" s="375"/>
      <c r="C72" s="375"/>
      <c r="D72" s="375"/>
      <c r="E72" s="375"/>
      <c r="F72" s="375"/>
      <c r="G72" s="375"/>
      <c r="H72" s="375"/>
      <c r="S72" s="225"/>
      <c r="T72" s="226"/>
      <c r="V72" s="18"/>
    </row>
    <row r="73" spans="1:22">
      <c r="B73" s="375"/>
      <c r="C73" s="375"/>
      <c r="D73" s="375"/>
      <c r="E73" s="375"/>
      <c r="F73" s="375"/>
      <c r="S73" s="225"/>
      <c r="T73" s="226"/>
      <c r="V73" s="18"/>
    </row>
    <row r="74" spans="1:22">
      <c r="B74" s="375"/>
      <c r="C74" s="375"/>
      <c r="D74" s="375"/>
      <c r="E74" s="375"/>
      <c r="F74" s="375"/>
      <c r="S74" s="227"/>
      <c r="V74" s="16"/>
    </row>
    <row r="75" spans="1:22">
      <c r="B75" s="375"/>
      <c r="C75" s="375"/>
      <c r="D75" s="375"/>
      <c r="E75" s="375"/>
      <c r="F75" s="375"/>
      <c r="P75" s="228"/>
      <c r="S75" s="225"/>
      <c r="T75" s="226"/>
      <c r="V75" s="16"/>
    </row>
    <row r="76" spans="1:22">
      <c r="B76" s="375"/>
      <c r="C76" s="375"/>
      <c r="D76" s="375"/>
      <c r="E76" s="375"/>
      <c r="F76" s="375"/>
    </row>
    <row r="77" spans="1:22">
      <c r="B77" s="375"/>
      <c r="C77" s="375"/>
      <c r="D77" s="375"/>
      <c r="E77" s="375"/>
      <c r="F77" s="375"/>
    </row>
    <row r="78" spans="1:22">
      <c r="B78" s="375"/>
      <c r="C78" s="375"/>
      <c r="D78" s="375"/>
      <c r="E78" s="375"/>
      <c r="F78" s="375"/>
    </row>
  </sheetData>
  <mergeCells count="109">
    <mergeCell ref="R44:S44"/>
    <mergeCell ref="R45:S45"/>
    <mergeCell ref="R46:S46"/>
    <mergeCell ref="R47:S47"/>
    <mergeCell ref="R48:S48"/>
    <mergeCell ref="R34:S34"/>
    <mergeCell ref="R35:S35"/>
    <mergeCell ref="R36:S36"/>
    <mergeCell ref="R37:S37"/>
    <mergeCell ref="R38:S39"/>
    <mergeCell ref="R41:T41"/>
    <mergeCell ref="R42:S42"/>
    <mergeCell ref="R43:S43"/>
    <mergeCell ref="J60:K60"/>
    <mergeCell ref="J50:K56"/>
    <mergeCell ref="N50:P50"/>
    <mergeCell ref="N51:P51"/>
    <mergeCell ref="N52:P52"/>
    <mergeCell ref="N53:P53"/>
    <mergeCell ref="A54:A55"/>
    <mergeCell ref="N54:P54"/>
    <mergeCell ref="L55:M55"/>
    <mergeCell ref="N55:P55"/>
    <mergeCell ref="L56:M56"/>
    <mergeCell ref="A35:A51"/>
    <mergeCell ref="J35:K48"/>
    <mergeCell ref="N56:O56"/>
    <mergeCell ref="J57:K59"/>
    <mergeCell ref="L57:M57"/>
    <mergeCell ref="N57:O57"/>
    <mergeCell ref="L58:N59"/>
    <mergeCell ref="W30:AA30"/>
    <mergeCell ref="N31:P31"/>
    <mergeCell ref="N32:P32"/>
    <mergeCell ref="R32:S32"/>
    <mergeCell ref="N33:P33"/>
    <mergeCell ref="R33:S33"/>
    <mergeCell ref="M26:N26"/>
    <mergeCell ref="O26:P26"/>
    <mergeCell ref="M27:N27"/>
    <mergeCell ref="O27:P27"/>
    <mergeCell ref="R28:S28"/>
    <mergeCell ref="R26:S27"/>
    <mergeCell ref="T26:T27"/>
    <mergeCell ref="U26:U27"/>
    <mergeCell ref="R20:U20"/>
    <mergeCell ref="A21:A23"/>
    <mergeCell ref="A28:A31"/>
    <mergeCell ref="C28:G28"/>
    <mergeCell ref="M28:N28"/>
    <mergeCell ref="O28:P28"/>
    <mergeCell ref="J30:K33"/>
    <mergeCell ref="N30:P30"/>
    <mergeCell ref="N21:P21"/>
    <mergeCell ref="R21:S21"/>
    <mergeCell ref="N22:P22"/>
    <mergeCell ref="R22:S22"/>
    <mergeCell ref="N23:P23"/>
    <mergeCell ref="A24:A26"/>
    <mergeCell ref="E24:F24"/>
    <mergeCell ref="J25:K28"/>
    <mergeCell ref="M25:N25"/>
    <mergeCell ref="O25:P25"/>
    <mergeCell ref="R23:S23"/>
    <mergeCell ref="R24:S24"/>
    <mergeCell ref="R25:S25"/>
    <mergeCell ref="R30:U30"/>
    <mergeCell ref="M12:N12"/>
    <mergeCell ref="J13:K13"/>
    <mergeCell ref="J14:K18"/>
    <mergeCell ref="N14:P14"/>
    <mergeCell ref="N15:P15"/>
    <mergeCell ref="N16:P16"/>
    <mergeCell ref="R7:R13"/>
    <mergeCell ref="T7:V7"/>
    <mergeCell ref="A9:A17"/>
    <mergeCell ref="J10:K10"/>
    <mergeCell ref="L10:P10"/>
    <mergeCell ref="J11:K12"/>
    <mergeCell ref="L11:L12"/>
    <mergeCell ref="M11:N11"/>
    <mergeCell ref="O11:O12"/>
    <mergeCell ref="P11:P12"/>
    <mergeCell ref="R16:T16"/>
    <mergeCell ref="L17:L18"/>
    <mergeCell ref="M17:M18"/>
    <mergeCell ref="N17:P18"/>
    <mergeCell ref="A18:A20"/>
    <mergeCell ref="J19:K19"/>
    <mergeCell ref="J20:K24"/>
    <mergeCell ref="N20:P20"/>
    <mergeCell ref="Z3:Z4"/>
    <mergeCell ref="D4:E4"/>
    <mergeCell ref="G4:H4"/>
    <mergeCell ref="D5:E5"/>
    <mergeCell ref="G5:H5"/>
    <mergeCell ref="L5:L9"/>
    <mergeCell ref="D6:E6"/>
    <mergeCell ref="G6:H6"/>
    <mergeCell ref="D7:E7"/>
    <mergeCell ref="A1:H1"/>
    <mergeCell ref="J1:P1"/>
    <mergeCell ref="B2:H2"/>
    <mergeCell ref="J2:P2"/>
    <mergeCell ref="C3:H3"/>
    <mergeCell ref="J3:K7"/>
    <mergeCell ref="L3:N3"/>
    <mergeCell ref="G7:H7"/>
    <mergeCell ref="R3:R4"/>
  </mergeCells>
  <conditionalFormatting sqref="G6">
    <cfRule type="colorScale" priority="3">
      <colorScale>
        <cfvo type="num" val="0"/>
        <cfvo type="num" val="0.55000000000000004"/>
        <cfvo type="num" val="1"/>
        <color theme="7"/>
        <color rgb="FFFCFCFF"/>
        <color rgb="FF63BE7B"/>
      </colorScale>
    </cfRule>
  </conditionalFormatting>
  <conditionalFormatting sqref="G7">
    <cfRule type="colorScale" priority="2">
      <colorScale>
        <cfvo type="num" val="0"/>
        <cfvo type="num" val="6"/>
        <cfvo type="num" val="11"/>
        <color theme="7"/>
        <color rgb="FFFCFCFF"/>
        <color rgb="FF63BE7B"/>
      </colorScale>
    </cfRule>
  </conditionalFormatting>
  <conditionalFormatting sqref="G4:H4">
    <cfRule type="iconSet" priority="1">
      <iconSet iconSet="5Rating">
        <cfvo type="percent" val="0"/>
        <cfvo type="num" val="3"/>
        <cfvo type="num" val="5"/>
        <cfvo type="num" val="7"/>
        <cfvo type="num" val="9"/>
      </iconSet>
    </cfRule>
  </conditionalFormatting>
  <dataValidations count="1">
    <dataValidation type="list" allowBlank="1" showInputMessage="1" showErrorMessage="1" sqref="T45" xr:uid="{9C409CE5-D2D9-419A-A8EB-99A7F6095854}">
      <formula1>"Sucre,DMS,LMS,Eau"</formula1>
    </dataValidation>
  </dataValidations>
  <hyperlinks>
    <hyperlink ref="R17" r:id="rId1" xr:uid="{92FC8362-0007-4AA0-B57F-02EF58210518}"/>
    <hyperlink ref="R18" r:id="rId2" xr:uid="{8829DFBD-D173-4D88-B3E6-911C80B588EE}"/>
  </hyperlinks>
  <pageMargins left="0.7" right="0.7" top="0.75" bottom="0.75" header="0.3" footer="0.3"/>
  <pageSetup paperSize="9" orientation="portrait" r:id="rId3"/>
  <drawing r:id="rId4"/>
  <legacyDrawing r:id="rId5"/>
  <extLst>
    <ext xmlns:x14="http://schemas.microsoft.com/office/spreadsheetml/2009/9/main" uri="{CCE6A557-97BC-4b89-ADB6-D9C93CAAB3DF}">
      <x14:dataValidations xmlns:xm="http://schemas.microsoft.com/office/excel/2006/main" count="10">
        <x14:dataValidation type="list" allowBlank="1" showInputMessage="1" showErrorMessage="1" xr:uid="{FC9FB25E-9C22-4155-847D-2ADF1F84CBC4}">
          <x14:formula1>
            <xm:f>STYLES!$B$7:$B$130</xm:f>
          </x14:formula1>
          <xm:sqref>T7:V7</xm:sqref>
        </x14:dataValidation>
        <x14:dataValidation type="list" allowBlank="1" showInputMessage="1" showErrorMessage="1" xr:uid="{BA4EEE06-7419-4AE4-A3A0-42C5B1E0C7AC}">
          <x14:formula1>
            <xm:f>INGREDIENTS!$I$7:$I$29</xm:f>
          </x14:formula1>
          <xm:sqref>B21:B23</xm:sqref>
        </x14:dataValidation>
        <x14:dataValidation type="list" allowBlank="1" showInputMessage="1" showErrorMessage="1" xr:uid="{9729A10A-177E-43FA-8C19-94646C6C7FFD}">
          <x14:formula1>
            <xm:f>INGREDIENTS!$CK$5:$CK$26</xm:f>
          </x14:formula1>
          <xm:sqref>L36:L48</xm:sqref>
        </x14:dataValidation>
        <x14:dataValidation type="list" allowBlank="1" showInputMessage="1" showErrorMessage="1" xr:uid="{61B58D63-D564-4E78-B84A-B4DF52D2FF52}">
          <x14:formula1>
            <xm:f>INGREDIENTS!$AA$6:$AA$14</xm:f>
          </x14:formula1>
          <xm:sqref>D36:D51</xm:sqref>
        </x14:dataValidation>
        <x14:dataValidation type="list" allowBlank="1" showInputMessage="1" showErrorMessage="1" xr:uid="{3BAF7D4C-B49E-4C93-8DE2-1534B1AD3B6A}">
          <x14:formula1>
            <xm:f>INGREDIENTS!$AF$6:$AF$401</xm:f>
          </x14:formula1>
          <xm:sqref>B55:B58</xm:sqref>
        </x14:dataValidation>
        <x14:dataValidation type="list" allowBlank="1" showInputMessage="1" showErrorMessage="1" xr:uid="{D3A5ADCC-76CE-4BD0-B2FA-2654711B8AE8}">
          <x14:formula1>
            <xm:f>INGREDIENTS!$R$6:$R$171</xm:f>
          </x14:formula1>
          <xm:sqref>B36:B51</xm:sqref>
        </x14:dataValidation>
        <x14:dataValidation type="list" allowBlank="1" showInputMessage="1" showErrorMessage="1" xr:uid="{C9AEFBC8-A615-4059-9BFF-C3329427250A}">
          <x14:formula1>
            <xm:f>INGREDIENTS!$AV$6:$AV$27</xm:f>
          </x14:formula1>
          <xm:sqref>B29:B33</xm:sqref>
        </x14:dataValidation>
        <x14:dataValidation type="list" allowBlank="1" showInputMessage="1" showErrorMessage="1" xr:uid="{497CD478-79D0-4351-B46F-20F22574BBEC}">
          <x14:formula1>
            <xm:f>INGREDIENTS!$A$6:$A$60</xm:f>
          </x14:formula1>
          <xm:sqref>B15:B17</xm:sqref>
        </x14:dataValidation>
        <x14:dataValidation type="list" allowBlank="1" showInputMessage="1" showErrorMessage="1" xr:uid="{D61A7A93-3279-4062-94DF-30A08E5676A9}">
          <x14:formula1>
            <xm:f>INGREDIENTS!$A$6:$A$100</xm:f>
          </x14:formula1>
          <xm:sqref>B18:B19</xm:sqref>
        </x14:dataValidation>
        <x14:dataValidation type="list" allowBlank="1" showInputMessage="1" showErrorMessage="1" xr:uid="{5D240E9C-4667-4C0C-AA18-A41579F11C15}">
          <x14:formula1>
            <xm:f>INGREDIENTS!$A$7:$A$109</xm:f>
          </x14:formula1>
          <xm:sqref>B20 B10:B14</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510F6D-E163-4C65-9251-6EF5AD6DB6B5}">
  <dimension ref="A1:AG75"/>
  <sheetViews>
    <sheetView topLeftCell="D1" zoomScaleNormal="100" workbookViewId="0">
      <selection activeCell="I2" sqref="I2:O2"/>
    </sheetView>
  </sheetViews>
  <sheetFormatPr baseColWidth="10" defaultColWidth="8.7109375" defaultRowHeight="15"/>
  <cols>
    <col min="1" max="1" width="10.5703125" bestFit="1" customWidth="1"/>
    <col min="2" max="2" width="18" bestFit="1" customWidth="1"/>
    <col min="3" max="3" width="9.5703125" bestFit="1" customWidth="1"/>
    <col min="5" max="5" width="9.5703125" bestFit="1" customWidth="1"/>
    <col min="7" max="7" width="10.140625" bestFit="1" customWidth="1"/>
    <col min="8" max="8" width="2.85546875" customWidth="1"/>
    <col min="9" max="9" width="11.42578125" customWidth="1"/>
    <col min="11" max="11" width="16.42578125" customWidth="1"/>
    <col min="12" max="12" width="9.5703125" customWidth="1"/>
    <col min="14" max="14" width="10.140625" bestFit="1" customWidth="1"/>
    <col min="15" max="15" width="9.28515625" customWidth="1"/>
    <col min="17" max="17" width="10.42578125" customWidth="1"/>
    <col min="18" max="18" width="10.42578125" bestFit="1" customWidth="1"/>
    <col min="19" max="19" width="14" bestFit="1" customWidth="1"/>
    <col min="21" max="21" width="13.42578125" customWidth="1"/>
    <col min="22" max="22" width="11.42578125" bestFit="1" customWidth="1"/>
    <col min="23" max="23" width="9.5703125" customWidth="1"/>
    <col min="24" max="24" width="9.42578125" bestFit="1" customWidth="1"/>
  </cols>
  <sheetData>
    <row r="1" spans="1:33" ht="30.75" thickBot="1">
      <c r="A1" s="758" t="s">
        <v>1885</v>
      </c>
      <c r="B1" s="759"/>
      <c r="C1" s="759"/>
      <c r="D1" s="759"/>
      <c r="E1" s="759"/>
      <c r="F1" s="759"/>
      <c r="G1" s="760"/>
      <c r="H1" s="353"/>
      <c r="I1" s="761" t="s">
        <v>665</v>
      </c>
      <c r="J1" s="762"/>
      <c r="K1" s="762"/>
      <c r="L1" s="762"/>
      <c r="M1" s="762"/>
      <c r="N1" s="762"/>
      <c r="O1" s="763"/>
      <c r="P1" s="352"/>
    </row>
    <row r="2" spans="1:33" ht="66.95" customHeight="1" thickBot="1">
      <c r="A2" s="1135" t="s">
        <v>1877</v>
      </c>
      <c r="B2" s="764"/>
      <c r="C2" s="764"/>
      <c r="D2" s="764"/>
      <c r="E2" s="764"/>
      <c r="F2" s="764"/>
      <c r="G2" s="764"/>
      <c r="H2" s="354"/>
      <c r="I2" s="765"/>
      <c r="J2" s="766"/>
      <c r="K2" s="766"/>
      <c r="L2" s="766"/>
      <c r="M2" s="766"/>
      <c r="N2" s="766"/>
      <c r="O2" s="766"/>
      <c r="P2" s="352"/>
    </row>
    <row r="3" spans="1:33" ht="14.45" customHeight="1">
      <c r="A3" s="142" t="s">
        <v>601</v>
      </c>
      <c r="B3" s="767" t="s">
        <v>1865</v>
      </c>
      <c r="C3" s="768"/>
      <c r="D3" s="769" t="s">
        <v>602</v>
      </c>
      <c r="E3" s="770"/>
      <c r="F3" s="770"/>
      <c r="G3" s="771"/>
      <c r="H3" s="355"/>
      <c r="I3" s="772" t="s">
        <v>615</v>
      </c>
      <c r="J3" s="773"/>
      <c r="K3" s="778" t="s">
        <v>616</v>
      </c>
      <c r="L3" s="779"/>
      <c r="M3" s="780"/>
      <c r="N3" s="172">
        <v>20</v>
      </c>
      <c r="O3" s="173">
        <v>69.400000000000006</v>
      </c>
      <c r="P3" s="352"/>
      <c r="Q3" s="744" t="s">
        <v>624</v>
      </c>
      <c r="R3" s="47" t="s">
        <v>871</v>
      </c>
      <c r="S3" s="47" t="s">
        <v>873</v>
      </c>
      <c r="T3" s="47" t="s">
        <v>875</v>
      </c>
      <c r="U3" s="47" t="s">
        <v>877</v>
      </c>
      <c r="V3" s="47" t="s">
        <v>879</v>
      </c>
      <c r="W3" s="47" t="s">
        <v>881</v>
      </c>
      <c r="X3" s="47" t="s">
        <v>23</v>
      </c>
    </row>
    <row r="4" spans="1:33" ht="14.45" customHeight="1">
      <c r="A4" s="143" t="s">
        <v>603</v>
      </c>
      <c r="B4" s="747">
        <v>20</v>
      </c>
      <c r="C4" s="748"/>
      <c r="D4" s="37" t="s">
        <v>604</v>
      </c>
      <c r="E4" s="134">
        <f>N31</f>
        <v>1.06</v>
      </c>
      <c r="F4" s="37" t="s">
        <v>612</v>
      </c>
      <c r="G4" s="144">
        <f>(76.08*(E4-E5)/(1.775-E4))*(E5/0.794)</f>
        <v>6.7676102235296254</v>
      </c>
      <c r="H4" s="356"/>
      <c r="I4" s="774"/>
      <c r="J4" s="775"/>
      <c r="K4" s="314" t="s">
        <v>911</v>
      </c>
      <c r="L4" s="312">
        <v>5.4</v>
      </c>
      <c r="M4" s="313"/>
      <c r="N4" s="27"/>
      <c r="O4" s="174"/>
      <c r="P4" s="352"/>
      <c r="Q4" s="745"/>
      <c r="R4" s="307" t="s">
        <v>872</v>
      </c>
      <c r="S4" s="307" t="s">
        <v>874</v>
      </c>
      <c r="T4" s="307" t="s">
        <v>876</v>
      </c>
      <c r="U4" s="307" t="s">
        <v>878</v>
      </c>
      <c r="V4" s="307" t="s">
        <v>880</v>
      </c>
      <c r="W4" s="307" t="s">
        <v>882</v>
      </c>
      <c r="X4" s="47"/>
    </row>
    <row r="5" spans="1:33" ht="14.45" customHeight="1">
      <c r="A5" s="143" t="s">
        <v>605</v>
      </c>
      <c r="B5" s="749">
        <v>45901</v>
      </c>
      <c r="C5" s="750"/>
      <c r="D5" s="37" t="s">
        <v>606</v>
      </c>
      <c r="E5" s="134">
        <f>N53</f>
        <v>1.01</v>
      </c>
      <c r="F5" s="37" t="s">
        <v>614</v>
      </c>
      <c r="G5" s="258">
        <v>2.5</v>
      </c>
      <c r="H5" s="357"/>
      <c r="I5" s="774"/>
      <c r="J5" s="775"/>
      <c r="K5" s="751" t="s">
        <v>622</v>
      </c>
      <c r="L5" s="121" t="s">
        <v>609</v>
      </c>
      <c r="M5" s="36">
        <v>58</v>
      </c>
      <c r="N5" s="27">
        <v>10</v>
      </c>
      <c r="O5" s="174"/>
      <c r="P5" s="352"/>
      <c r="Q5" s="745"/>
      <c r="R5" s="318">
        <v>48.4</v>
      </c>
      <c r="S5" s="318">
        <v>85.9</v>
      </c>
      <c r="T5" s="318">
        <v>116</v>
      </c>
      <c r="U5" s="318">
        <v>7.1</v>
      </c>
      <c r="V5" s="318">
        <v>18.600000000000001</v>
      </c>
      <c r="W5" s="318">
        <v>359</v>
      </c>
      <c r="X5" s="29">
        <v>7.2</v>
      </c>
    </row>
    <row r="6" spans="1:33" ht="14.45" customHeight="1">
      <c r="A6" s="143"/>
      <c r="B6" s="749"/>
      <c r="C6" s="750"/>
      <c r="D6" s="37" t="s">
        <v>608</v>
      </c>
      <c r="E6" s="135">
        <f>C20</f>
        <v>6.4217249928235312</v>
      </c>
      <c r="F6" s="37" t="s">
        <v>618</v>
      </c>
      <c r="G6" s="144">
        <f>E7/((E4-1)*1000)</f>
        <v>0.14551166629148268</v>
      </c>
      <c r="H6" s="356"/>
      <c r="I6" s="774"/>
      <c r="J6" s="775"/>
      <c r="K6" s="752"/>
      <c r="L6" s="121" t="s">
        <v>611</v>
      </c>
      <c r="M6" s="36">
        <v>66</v>
      </c>
      <c r="N6" s="27">
        <v>50</v>
      </c>
      <c r="O6" s="174"/>
      <c r="P6" s="352"/>
      <c r="Q6" s="746"/>
      <c r="R6" s="308"/>
      <c r="S6" s="308"/>
      <c r="T6" s="308"/>
      <c r="U6" s="308"/>
      <c r="V6" s="308"/>
      <c r="W6" s="308"/>
      <c r="X6" s="308"/>
    </row>
    <row r="7" spans="1:33" ht="15.75" customHeight="1" thickBot="1">
      <c r="A7" s="754" t="s">
        <v>607</v>
      </c>
      <c r="B7" s="755"/>
      <c r="C7" s="206" t="e">
        <f>N17</f>
        <v>#VALUE!</v>
      </c>
      <c r="D7" s="145" t="s">
        <v>610</v>
      </c>
      <c r="E7" s="215">
        <f>G44</f>
        <v>8.7306999774889693</v>
      </c>
      <c r="F7" s="146" t="s">
        <v>621</v>
      </c>
      <c r="G7" s="147">
        <f>E7/(0.1808*(259-(259/E4))+(0.8192*(259-(259/E5))))</f>
        <v>1.8375326132744003</v>
      </c>
      <c r="H7" s="358"/>
      <c r="I7" s="774"/>
      <c r="J7" s="775"/>
      <c r="K7" s="752"/>
      <c r="L7" s="121" t="s">
        <v>613</v>
      </c>
      <c r="M7" s="36">
        <v>71</v>
      </c>
      <c r="N7" s="27">
        <v>5</v>
      </c>
      <c r="O7" s="174"/>
      <c r="P7" s="352"/>
      <c r="Q7" s="756" t="s">
        <v>917</v>
      </c>
      <c r="R7" s="946" t="s">
        <v>1059</v>
      </c>
      <c r="S7" s="947"/>
      <c r="T7" s="385"/>
      <c r="U7" s="385"/>
      <c r="V7" s="385"/>
      <c r="W7" s="386"/>
      <c r="X7" s="321"/>
    </row>
    <row r="8" spans="1:33" ht="15.75" customHeight="1" thickBot="1">
      <c r="A8" s="355"/>
      <c r="B8" s="367"/>
      <c r="C8" s="368"/>
      <c r="D8" s="352"/>
      <c r="E8" s="352"/>
      <c r="F8" s="359"/>
      <c r="G8" s="359"/>
      <c r="H8" s="359"/>
      <c r="I8" s="774"/>
      <c r="J8" s="775"/>
      <c r="K8" s="752"/>
      <c r="L8" s="121" t="s">
        <v>617</v>
      </c>
      <c r="M8" s="36">
        <v>78</v>
      </c>
      <c r="N8" s="27">
        <v>10</v>
      </c>
      <c r="O8" s="174"/>
      <c r="P8" s="352"/>
      <c r="Q8" s="757"/>
      <c r="R8" s="320">
        <f>VLOOKUP(R7,INGREDIENTS!$BD$8:$CA$185,2,FALSE)</f>
        <v>0</v>
      </c>
      <c r="S8" s="320">
        <f>VLOOKUP($R$7,INGREDIENTS!$BD$8:$CA$185,5,FALSE)</f>
        <v>0</v>
      </c>
      <c r="T8" s="320">
        <f>VLOOKUP($R$7,INGREDIENTS!$BD$8:$CA$185,8,FALSE)</f>
        <v>0</v>
      </c>
      <c r="U8" s="320">
        <f>VLOOKUP($R$7,INGREDIENTS!$BD$8:$CA$185,11,FALSE)</f>
        <v>0</v>
      </c>
      <c r="V8" s="320">
        <f>VLOOKUP($R$7,INGREDIENTS!$BD$8:$CA$185,14,FALSE)</f>
        <v>0</v>
      </c>
      <c r="W8" s="320">
        <f>VLOOKUP($R$7,INGREDIENTS!$BD$8:$CA$185,17,FALSE)</f>
        <v>0</v>
      </c>
      <c r="X8" s="387" t="s">
        <v>887</v>
      </c>
    </row>
    <row r="9" spans="1:33" ht="17.45" customHeight="1" thickBot="1">
      <c r="A9" s="781" t="s">
        <v>634</v>
      </c>
      <c r="B9" s="148" t="s">
        <v>1</v>
      </c>
      <c r="C9" s="148" t="s">
        <v>2</v>
      </c>
      <c r="D9" s="148" t="s">
        <v>632</v>
      </c>
      <c r="E9" s="148" t="s">
        <v>23</v>
      </c>
      <c r="F9" s="148" t="s">
        <v>633</v>
      </c>
      <c r="G9" s="149" t="s">
        <v>666</v>
      </c>
      <c r="H9" s="355"/>
      <c r="I9" s="776"/>
      <c r="J9" s="777"/>
      <c r="K9" s="753"/>
      <c r="L9" s="175" t="s">
        <v>620</v>
      </c>
      <c r="M9" s="176">
        <v>67</v>
      </c>
      <c r="N9" s="177">
        <f>SUM(N5:N7)</f>
        <v>65</v>
      </c>
      <c r="O9" s="178"/>
      <c r="P9" s="352"/>
      <c r="Q9" s="757"/>
      <c r="R9" s="320">
        <f>VLOOKUP(R7,INGREDIENTS!$BD$8:$CA$185,3,FALSE)</f>
        <v>0</v>
      </c>
      <c r="S9" s="320">
        <f>VLOOKUP($R$7,INGREDIENTS!$BD$8:$CA$185,6,FALSE)</f>
        <v>0</v>
      </c>
      <c r="T9" s="320">
        <f>VLOOKUP($R$7,INGREDIENTS!$BD$8:$CA$185,9,FALSE)</f>
        <v>0</v>
      </c>
      <c r="U9" s="320">
        <f>VLOOKUP($R$7,INGREDIENTS!$BD$8:$CA$185,12,FALSE)</f>
        <v>0</v>
      </c>
      <c r="V9" s="320">
        <f>VLOOKUP($R$7,INGREDIENTS!$BD$8:$CA$185,15,FALSE)</f>
        <v>0</v>
      </c>
      <c r="W9" s="320">
        <f>VLOOKUP($R$7,INGREDIENTS!$BD$8:$CA$185,18,FALSE)</f>
        <v>0</v>
      </c>
      <c r="X9" s="388" t="s">
        <v>888</v>
      </c>
      <c r="Z9" s="393"/>
      <c r="AA9" s="389"/>
      <c r="AB9" s="389"/>
      <c r="AC9" s="389"/>
      <c r="AD9" s="389"/>
      <c r="AE9" s="389"/>
      <c r="AF9" s="393"/>
      <c r="AG9" s="393"/>
    </row>
    <row r="10" spans="1:33" ht="15.75" customHeight="1" thickBot="1">
      <c r="A10" s="782"/>
      <c r="B10" s="32" t="s">
        <v>50</v>
      </c>
      <c r="C10" s="237">
        <f>IFERROR(VLOOKUP(B10,INGREDIENTS!$A$6:$E$38,3,FALSE),"")</f>
        <v>3</v>
      </c>
      <c r="D10" s="34">
        <f>IFERROR(VLOOKUP(B10,INGREDIENTS!$A$6:$E$38,2,FALSE),"")</f>
        <v>0.8</v>
      </c>
      <c r="E10" s="35">
        <f>IFERROR(VLOOKUP(B10,INGREDIENTS!$A$6:$E$121,5,FALSE),"")</f>
        <v>5.7</v>
      </c>
      <c r="F10" s="26">
        <v>5000</v>
      </c>
      <c r="G10" s="150">
        <f t="shared" ref="G10:G18" si="0">F10/$F$20</f>
        <v>0.95238095238095233</v>
      </c>
      <c r="H10" s="360"/>
      <c r="I10" s="801" t="s">
        <v>714</v>
      </c>
      <c r="J10" s="801"/>
      <c r="K10" s="801"/>
      <c r="L10" s="801"/>
      <c r="M10" s="801"/>
      <c r="N10" s="801"/>
      <c r="O10" s="801"/>
      <c r="P10" s="352"/>
      <c r="Z10" s="393"/>
      <c r="AA10" s="389"/>
      <c r="AB10" s="389"/>
      <c r="AC10" s="389"/>
      <c r="AD10" s="389"/>
      <c r="AE10" s="389"/>
      <c r="AF10" s="393"/>
      <c r="AG10" s="393"/>
    </row>
    <row r="11" spans="1:33" ht="18.75">
      <c r="A11" s="782"/>
      <c r="B11" s="32" t="s">
        <v>2594</v>
      </c>
      <c r="C11" s="237">
        <f>IFERROR(VLOOKUP(B11,INGREDIENTS!$A$6:$E$38,3,FALSE),"")</f>
        <v>5</v>
      </c>
      <c r="D11" s="34">
        <f>IFERROR(VLOOKUP(B11,INGREDIENTS!$A$6:$E$38,2,FALSE),"")</f>
        <v>0.81</v>
      </c>
      <c r="E11" s="35">
        <f>IFERROR(VLOOKUP(B11,INGREDIENTS!$A$6:$E$121,5,FALSE),"")</f>
        <v>5.77</v>
      </c>
      <c r="F11" s="26">
        <v>250</v>
      </c>
      <c r="G11" s="150">
        <f t="shared" si="0"/>
        <v>4.7619047619047616E-2</v>
      </c>
      <c r="H11" s="360"/>
      <c r="I11" s="786" t="s">
        <v>626</v>
      </c>
      <c r="J11" s="787"/>
      <c r="K11" s="790" t="s">
        <v>627</v>
      </c>
      <c r="L11" s="792">
        <v>14</v>
      </c>
      <c r="M11" s="793"/>
      <c r="N11" s="794" t="s">
        <v>23</v>
      </c>
      <c r="O11" s="796">
        <v>7.2</v>
      </c>
      <c r="P11" s="352"/>
      <c r="Q11" s="798" t="s">
        <v>682</v>
      </c>
      <c r="R11" s="798"/>
      <c r="Y11" s="390"/>
      <c r="Z11" s="391"/>
      <c r="AA11" s="391"/>
      <c r="AB11" s="391"/>
      <c r="AC11" s="391"/>
      <c r="AD11" s="391"/>
      <c r="AE11" s="391"/>
      <c r="AF11" s="393"/>
      <c r="AG11" s="393"/>
    </row>
    <row r="12" spans="1:33" ht="15.75" thickBot="1">
      <c r="A12" s="782"/>
      <c r="B12" s="32"/>
      <c r="C12" s="237" t="str">
        <f>IFERROR(VLOOKUP(B12,INGREDIENTS!$A$6:$E$38,3,FALSE),"")</f>
        <v/>
      </c>
      <c r="D12" s="34" t="str">
        <f>IFERROR(VLOOKUP(B12,INGREDIENTS!$A$6:$E$38,2,FALSE),"")</f>
        <v/>
      </c>
      <c r="E12" s="35" t="str">
        <f>IFERROR(VLOOKUP(B12,INGREDIENTS!$A$6:$E$121,5,FALSE),"")</f>
        <v/>
      </c>
      <c r="F12" s="26"/>
      <c r="G12" s="150">
        <f t="shared" si="0"/>
        <v>0</v>
      </c>
      <c r="H12" s="360"/>
      <c r="I12" s="788"/>
      <c r="J12" s="789"/>
      <c r="K12" s="791"/>
      <c r="L12" s="799">
        <v>78</v>
      </c>
      <c r="M12" s="800"/>
      <c r="N12" s="795"/>
      <c r="O12" s="797"/>
      <c r="P12" s="352"/>
      <c r="Q12" s="304" t="s">
        <v>870</v>
      </c>
      <c r="Y12" s="390"/>
      <c r="Z12" s="392"/>
      <c r="AA12" s="392"/>
      <c r="AB12" s="392"/>
      <c r="AC12" s="392"/>
      <c r="AD12" s="392"/>
      <c r="AE12" s="392"/>
      <c r="AF12" s="393"/>
      <c r="AG12" s="393"/>
    </row>
    <row r="13" spans="1:33" ht="14.45" customHeight="1" thickBot="1">
      <c r="A13" s="782"/>
      <c r="B13" s="32"/>
      <c r="C13" s="237" t="str">
        <f>IFERROR(VLOOKUP(B13,INGREDIENTS!$A$6:$E$38,3,FALSE),"")</f>
        <v/>
      </c>
      <c r="D13" s="34" t="str">
        <f>IFERROR(VLOOKUP(B13,INGREDIENTS!$A$6:$E$38,2,FALSE),"")</f>
        <v/>
      </c>
      <c r="E13" s="35" t="str">
        <f>IFERROR(VLOOKUP(B13,INGREDIENTS!$A$6:$E$121,5,FALSE),"")</f>
        <v/>
      </c>
      <c r="F13" s="26"/>
      <c r="G13" s="150">
        <f t="shared" si="0"/>
        <v>0</v>
      </c>
      <c r="H13" s="360"/>
      <c r="I13" s="801" t="s">
        <v>714</v>
      </c>
      <c r="J13" s="801"/>
      <c r="K13" s="261"/>
      <c r="L13" s="30"/>
      <c r="M13" s="31"/>
      <c r="N13" s="31"/>
      <c r="O13" s="28"/>
      <c r="P13" s="352"/>
      <c r="Q13" s="304" t="s">
        <v>908</v>
      </c>
    </row>
    <row r="14" spans="1:33" ht="14.45" customHeight="1">
      <c r="A14" s="782"/>
      <c r="B14" s="32"/>
      <c r="C14" s="237" t="str">
        <f>IFERROR(VLOOKUP(B14,INGREDIENTS!$A$6:$E$38,3,FALSE),"")</f>
        <v/>
      </c>
      <c r="D14" s="34" t="str">
        <f>IFERROR(VLOOKUP(B14,INGREDIENTS!$A$6:$E$38,2,FALSE),"")</f>
        <v/>
      </c>
      <c r="E14" s="35" t="str">
        <f>IFERROR(VLOOKUP(B14,INGREDIENTS!$A$6:$E$121,5,FALSE),"")</f>
        <v/>
      </c>
      <c r="F14" s="26"/>
      <c r="G14" s="150">
        <f t="shared" si="0"/>
        <v>0</v>
      </c>
      <c r="H14" s="360"/>
      <c r="I14" s="802" t="s">
        <v>628</v>
      </c>
      <c r="J14" s="803"/>
      <c r="K14" s="205"/>
      <c r="L14" s="808" t="s">
        <v>737</v>
      </c>
      <c r="M14" s="809"/>
      <c r="N14" s="808" t="s">
        <v>630</v>
      </c>
      <c r="O14" s="810"/>
      <c r="P14" s="352"/>
    </row>
    <row r="15" spans="1:33" ht="17.100000000000001" customHeight="1">
      <c r="A15" s="782"/>
      <c r="B15" s="32"/>
      <c r="C15" s="237" t="str">
        <f>IFERROR(VLOOKUP(B15,INGREDIENTS!$A$6:$E$38,3,FALSE),"")</f>
        <v/>
      </c>
      <c r="D15" s="34" t="str">
        <f>IFERROR(VLOOKUP(B15,INGREDIENTS!$A$6:$E$38,2,FALSE),"")</f>
        <v/>
      </c>
      <c r="E15" s="35" t="str">
        <f>IFERROR(VLOOKUP(B15,INGREDIENTS!$A$6:$E$121,5,FALSE),"")</f>
        <v/>
      </c>
      <c r="F15" s="26"/>
      <c r="G15" s="150">
        <f t="shared" si="0"/>
        <v>0</v>
      </c>
      <c r="H15" s="360"/>
      <c r="I15" s="804"/>
      <c r="J15" s="805"/>
      <c r="K15" s="38" t="s">
        <v>631</v>
      </c>
      <c r="L15" s="811" t="s">
        <v>1882</v>
      </c>
      <c r="M15" s="812"/>
      <c r="N15" s="813" t="s">
        <v>1882</v>
      </c>
      <c r="O15" s="814"/>
      <c r="P15" s="352"/>
    </row>
    <row r="16" spans="1:33" ht="17.100000000000001" customHeight="1" thickBot="1">
      <c r="A16" s="783"/>
      <c r="B16" s="32"/>
      <c r="C16" s="237" t="str">
        <f>IFERROR(VLOOKUP(B16,INGREDIENTS!$A$6:$E$38,3,FALSE),"")</f>
        <v/>
      </c>
      <c r="D16" s="34" t="str">
        <f>IFERROR(VLOOKUP(B16,INGREDIENTS!$A$6:$E$38,2,FALSE),"")</f>
        <v/>
      </c>
      <c r="E16" s="35" t="str">
        <f>IFERROR(VLOOKUP(B16,INGREDIENTS!$A$6:$E$121,5,FALSE),"")</f>
        <v/>
      </c>
      <c r="F16" s="43"/>
      <c r="G16" s="150">
        <f t="shared" si="0"/>
        <v>0</v>
      </c>
      <c r="H16" s="360"/>
      <c r="I16" s="804"/>
      <c r="J16" s="805"/>
      <c r="K16" s="38" t="s">
        <v>603</v>
      </c>
      <c r="L16" s="815">
        <v>25</v>
      </c>
      <c r="M16" s="816"/>
      <c r="N16" s="817">
        <v>25</v>
      </c>
      <c r="O16" s="818"/>
      <c r="P16" s="352"/>
    </row>
    <row r="17" spans="1:23" ht="17.100000000000001" customHeight="1" thickTop="1">
      <c r="A17" s="832" t="s">
        <v>637</v>
      </c>
      <c r="B17" s="166"/>
      <c r="C17" s="394" t="str">
        <f>IFERROR(VLOOKUP(B17,INGREDIENTS!$I$6:$L$24,3,FALSE),"")</f>
        <v/>
      </c>
      <c r="D17" s="241" t="str">
        <f>IFERROR(VLOOKUP(B17,INGREDIENTS!$I$6:$L$24,2,FALSE),"")</f>
        <v/>
      </c>
      <c r="E17" s="117" t="str">
        <f>IFERROR(VLOOKUP(B17,INGREDIENTS!$I$6:$L$24,5,FALSE),"")</f>
        <v/>
      </c>
      <c r="F17" s="395"/>
      <c r="G17" s="150">
        <f t="shared" si="0"/>
        <v>0</v>
      </c>
      <c r="H17" s="360"/>
      <c r="I17" s="804"/>
      <c r="J17" s="805"/>
      <c r="K17" s="834" t="s">
        <v>607</v>
      </c>
      <c r="L17" s="836" t="e">
        <f>(2.57452*(L15-1)*L16*1000)/(F20*D20)</f>
        <v>#VALUE!</v>
      </c>
      <c r="M17" s="837"/>
      <c r="N17" s="840" t="e">
        <f>(2.57452*(N15-1)*N16*1000)/(F20*D20)</f>
        <v>#VALUE!</v>
      </c>
      <c r="O17" s="841"/>
      <c r="P17" s="352"/>
    </row>
    <row r="18" spans="1:23" ht="17.100000000000001" customHeight="1" thickBot="1">
      <c r="A18" s="833"/>
      <c r="B18" s="396"/>
      <c r="C18" s="397" t="str">
        <f>IFERROR(VLOOKUP(B18,INGREDIENTS!$I$6:$L$24,3,FALSE),"")</f>
        <v/>
      </c>
      <c r="D18" s="398" t="str">
        <f>IFERROR(VLOOKUP(B18,INGREDIENTS!$I$6:$L$24,2,FALSE),"")</f>
        <v/>
      </c>
      <c r="E18" s="399" t="str">
        <f>IFERROR(VLOOKUP(B18,INGREDIENTS!$I$6:$L$24,5,FALSE),"")</f>
        <v/>
      </c>
      <c r="F18" s="400"/>
      <c r="G18" s="150">
        <f t="shared" si="0"/>
        <v>0</v>
      </c>
      <c r="H18" s="360"/>
      <c r="I18" s="806"/>
      <c r="J18" s="807"/>
      <c r="K18" s="835"/>
      <c r="L18" s="838"/>
      <c r="M18" s="839"/>
      <c r="N18" s="842"/>
      <c r="O18" s="843"/>
      <c r="P18" s="352"/>
    </row>
    <row r="19" spans="1:23" ht="17.100000000000001" customHeight="1" thickBot="1">
      <c r="A19" s="167" t="s">
        <v>639</v>
      </c>
      <c r="B19" s="168" t="s">
        <v>640</v>
      </c>
      <c r="C19" s="216">
        <f>2.9396*((4.23*SUMPRODUCT(C10:C16,F10:F16)/1000)/L22)^0.6859</f>
        <v>6.4217249928235312</v>
      </c>
      <c r="D19" s="169">
        <f>SUMPRODUCT(D10:D16,G10:G16)</f>
        <v>0.80047619047619045</v>
      </c>
      <c r="E19" s="300">
        <f>SUMPRODUCT(E10:E16,F10:F16)/$F$19</f>
        <v>5.7033333333333331</v>
      </c>
      <c r="F19" s="170">
        <f>SUM(F10:F16)</f>
        <v>5250</v>
      </c>
      <c r="G19" s="171">
        <f>SUM(G10:G16)</f>
        <v>1</v>
      </c>
      <c r="H19" s="361"/>
      <c r="I19" s="784" t="s">
        <v>714</v>
      </c>
      <c r="J19" s="784"/>
      <c r="K19" s="362"/>
      <c r="L19" s="362"/>
      <c r="M19" s="362"/>
      <c r="N19" s="362"/>
      <c r="O19" s="362"/>
      <c r="P19" s="352"/>
    </row>
    <row r="20" spans="1:23" ht="17.45" customHeight="1" thickBot="1">
      <c r="A20" s="151" t="s">
        <v>639</v>
      </c>
      <c r="B20" s="152" t="s">
        <v>641</v>
      </c>
      <c r="C20" s="153">
        <f>2.9396*((4.23*SUMPRODUCT(C10:C18,F10:F18)/1000)/L22)^0.6859</f>
        <v>6.4217249928235312</v>
      </c>
      <c r="D20" s="154">
        <f>SUMPRODUCT(D10:D18,G10:G18)</f>
        <v>0.80047619047619045</v>
      </c>
      <c r="E20" s="301">
        <f>SUMPRODUCT(E10:E18,F10:F18)/$F$20</f>
        <v>5.7033333333333331</v>
      </c>
      <c r="F20" s="155">
        <f>SUM(F10:F18)</f>
        <v>5250</v>
      </c>
      <c r="G20" s="156">
        <f>SUM(G10:G18)</f>
        <v>1</v>
      </c>
      <c r="H20" s="361"/>
      <c r="I20" s="844" t="s">
        <v>736</v>
      </c>
      <c r="J20" s="845"/>
      <c r="K20" s="181"/>
      <c r="L20" s="850" t="s">
        <v>737</v>
      </c>
      <c r="M20" s="851"/>
      <c r="N20" s="850" t="s">
        <v>630</v>
      </c>
      <c r="O20" s="852"/>
      <c r="P20" s="352"/>
      <c r="Q20" s="819" t="s">
        <v>675</v>
      </c>
      <c r="R20" s="820"/>
      <c r="S20" s="821"/>
      <c r="U20" s="822" t="s">
        <v>912</v>
      </c>
      <c r="V20" s="823"/>
      <c r="W20" s="824"/>
    </row>
    <row r="21" spans="1:23" ht="18" customHeight="1" thickBot="1">
      <c r="A21" s="352"/>
      <c r="B21" s="352"/>
      <c r="C21" s="352"/>
      <c r="D21" s="352"/>
      <c r="E21" s="352"/>
      <c r="F21" s="352"/>
      <c r="G21" s="352"/>
      <c r="H21" s="352"/>
      <c r="I21" s="846"/>
      <c r="J21" s="847"/>
      <c r="K21" s="39" t="s">
        <v>631</v>
      </c>
      <c r="L21" s="825">
        <v>1.0549999999999999</v>
      </c>
      <c r="M21" s="826"/>
      <c r="N21" s="827"/>
      <c r="O21" s="828"/>
      <c r="P21" s="352"/>
      <c r="Q21" s="829" t="s">
        <v>676</v>
      </c>
      <c r="R21" s="830"/>
      <c r="S21" s="104"/>
      <c r="U21" s="831" t="s">
        <v>916</v>
      </c>
      <c r="V21" s="831"/>
      <c r="W21" s="315">
        <f>E19</f>
        <v>5.7033333333333331</v>
      </c>
    </row>
    <row r="22" spans="1:23" ht="15.6" customHeight="1">
      <c r="A22" s="853" t="s">
        <v>643</v>
      </c>
      <c r="B22" s="856" t="s">
        <v>1</v>
      </c>
      <c r="C22" s="857"/>
      <c r="D22" s="856" t="s">
        <v>588</v>
      </c>
      <c r="E22" s="878"/>
      <c r="F22" s="857"/>
      <c r="G22" s="347" t="s">
        <v>644</v>
      </c>
      <c r="H22" s="355"/>
      <c r="I22" s="846"/>
      <c r="J22" s="847"/>
      <c r="K22" s="40" t="s">
        <v>603</v>
      </c>
      <c r="L22" s="872">
        <v>22</v>
      </c>
      <c r="M22" s="873"/>
      <c r="N22" s="874">
        <v>22</v>
      </c>
      <c r="O22" s="875"/>
      <c r="P22" s="352"/>
      <c r="Q22" s="829" t="s">
        <v>677</v>
      </c>
      <c r="R22" s="830"/>
      <c r="S22" s="115"/>
      <c r="U22" s="831" t="s">
        <v>913</v>
      </c>
      <c r="V22" s="831"/>
      <c r="W22" s="315">
        <v>6.2</v>
      </c>
    </row>
    <row r="23" spans="1:23" ht="14.45" customHeight="1">
      <c r="A23" s="854"/>
      <c r="B23" s="858" t="s">
        <v>1866</v>
      </c>
      <c r="C23" s="859"/>
      <c r="D23" s="879" t="s">
        <v>1879</v>
      </c>
      <c r="E23" s="880"/>
      <c r="F23" s="881"/>
      <c r="G23" s="348" t="s">
        <v>1875</v>
      </c>
      <c r="H23" s="362"/>
      <c r="I23" s="846"/>
      <c r="J23" s="847"/>
      <c r="K23" s="243" t="s">
        <v>635</v>
      </c>
      <c r="L23" s="876">
        <f>(L16-L22)*100/L16</f>
        <v>12</v>
      </c>
      <c r="M23" s="877"/>
      <c r="N23" s="876">
        <f>(N16-N22)*100/N16</f>
        <v>12</v>
      </c>
      <c r="O23" s="877"/>
      <c r="P23" s="352"/>
      <c r="Q23" s="829" t="s">
        <v>678</v>
      </c>
      <c r="R23" s="830"/>
      <c r="S23" s="104"/>
      <c r="U23" s="860" t="s">
        <v>869</v>
      </c>
      <c r="V23" s="861"/>
      <c r="W23" s="315">
        <v>5.4</v>
      </c>
    </row>
    <row r="24" spans="1:23" ht="14.45" customHeight="1" thickBot="1">
      <c r="A24" s="854"/>
      <c r="B24" s="858" t="s">
        <v>1873</v>
      </c>
      <c r="C24" s="859"/>
      <c r="D24" s="858" t="s">
        <v>1876</v>
      </c>
      <c r="E24" s="938"/>
      <c r="F24" s="938"/>
      <c r="G24" s="348" t="s">
        <v>1868</v>
      </c>
      <c r="H24" s="362"/>
      <c r="I24" s="846"/>
      <c r="J24" s="847"/>
      <c r="K24" s="209" t="s">
        <v>636</v>
      </c>
      <c r="L24" s="210"/>
      <c r="M24" s="210"/>
      <c r="N24" s="211"/>
      <c r="O24" s="182" t="e">
        <f>((N15-1)*1000)*N16*2.57452-((N21-1)*1000)*N22*2.57452</f>
        <v>#VALUE!</v>
      </c>
      <c r="P24" s="352"/>
      <c r="Q24" s="829" t="s">
        <v>679</v>
      </c>
      <c r="R24" s="830"/>
      <c r="S24" s="50" t="s">
        <v>680</v>
      </c>
      <c r="U24" s="860" t="s">
        <v>915</v>
      </c>
      <c r="V24" s="861"/>
      <c r="W24" s="316">
        <v>20</v>
      </c>
    </row>
    <row r="25" spans="1:23" ht="14.45" customHeight="1" thickBot="1">
      <c r="A25" s="855"/>
      <c r="B25" s="862"/>
      <c r="C25" s="863"/>
      <c r="D25" s="862"/>
      <c r="E25" s="939"/>
      <c r="F25" s="939"/>
      <c r="G25" s="349"/>
      <c r="H25" s="362"/>
      <c r="I25" s="846"/>
      <c r="J25" s="847"/>
      <c r="K25" s="40" t="s">
        <v>718</v>
      </c>
      <c r="L25" s="864">
        <v>10</v>
      </c>
      <c r="M25" s="865"/>
      <c r="N25" s="866">
        <v>85</v>
      </c>
      <c r="O25" s="867"/>
      <c r="P25" s="352"/>
      <c r="Q25" s="829" t="s">
        <v>681</v>
      </c>
      <c r="R25" s="830"/>
      <c r="S25" s="131">
        <f>IF(S24="","",IF(S24="Sucre",(S23-S21)*1000*2.57452,IF(S24="DMS",(S23-S21)*1000*2.66,IF(S24="LMS",(S23-S21)*1000*3.24,IF(S24="Eau",1000*((S21-1)/(S23-1)*S22-S22)/S22)))))</f>
        <v>0</v>
      </c>
      <c r="U25" s="868" t="s">
        <v>914</v>
      </c>
      <c r="V25" s="869"/>
      <c r="W25" s="882">
        <v>0.8</v>
      </c>
    </row>
    <row r="26" spans="1:23" ht="14.45" customHeight="1" thickBot="1">
      <c r="A26" s="352"/>
      <c r="B26" s="352"/>
      <c r="C26" s="352"/>
      <c r="D26" s="352"/>
      <c r="E26" s="352"/>
      <c r="F26" s="352"/>
      <c r="G26" s="352"/>
      <c r="H26" s="352"/>
      <c r="I26" s="846"/>
      <c r="J26" s="847"/>
      <c r="K26" s="40" t="s">
        <v>716</v>
      </c>
      <c r="L26" s="864">
        <v>2</v>
      </c>
      <c r="M26" s="865"/>
      <c r="N26" s="866">
        <v>85</v>
      </c>
      <c r="O26" s="867"/>
      <c r="P26" s="352"/>
      <c r="Q26" s="829" t="s">
        <v>681</v>
      </c>
      <c r="R26" s="830"/>
      <c r="S26" s="130">
        <f>S25*S22</f>
        <v>0</v>
      </c>
      <c r="U26" s="870"/>
      <c r="V26" s="871"/>
      <c r="W26" s="883"/>
    </row>
    <row r="27" spans="1:23" ht="30">
      <c r="A27" s="884" t="s">
        <v>649</v>
      </c>
      <c r="B27" s="157" t="s">
        <v>1</v>
      </c>
      <c r="C27" s="259" t="s">
        <v>650</v>
      </c>
      <c r="D27" s="157" t="s">
        <v>588</v>
      </c>
      <c r="E27" s="157" t="s">
        <v>647</v>
      </c>
      <c r="F27" s="157" t="s">
        <v>633</v>
      </c>
      <c r="G27" s="158" t="s">
        <v>651</v>
      </c>
      <c r="H27" s="355"/>
      <c r="I27" s="846"/>
      <c r="J27" s="847"/>
      <c r="K27" s="40" t="s">
        <v>717</v>
      </c>
      <c r="L27" s="864">
        <v>30</v>
      </c>
      <c r="M27" s="865"/>
      <c r="N27" s="866">
        <v>75</v>
      </c>
      <c r="O27" s="867"/>
      <c r="P27" s="352"/>
      <c r="U27" s="860" t="s">
        <v>644</v>
      </c>
      <c r="V27" s="861"/>
      <c r="W27" s="317">
        <f>((POWER(10,-W23)-POWER(10,-W22))*W24)/(W25/100)/(1.206/1000)</f>
        <v>6.9446815113075733</v>
      </c>
    </row>
    <row r="28" spans="1:23" ht="14.45" customHeight="1" thickBot="1">
      <c r="A28" s="885"/>
      <c r="B28" s="137" t="s">
        <v>9</v>
      </c>
      <c r="C28" s="239">
        <f>IFERROR(VLOOKUP(B28,INGREDIENTS!$R$6:$U$171,4,FALSE), "")</f>
        <v>0.12</v>
      </c>
      <c r="D28" s="137" t="s">
        <v>724</v>
      </c>
      <c r="E28" s="138">
        <v>30</v>
      </c>
      <c r="F28" s="139">
        <v>2</v>
      </c>
      <c r="G28" s="159">
        <f>IFERROR((VLOOKUP(D28,INGREDIENTS!$AA$6:$AB$14,2,FALSE))*((1.65*(0.000125^($L$31-1))*((1-EXP(-0.04*E28))/4.15))*C28*F28*1000)/($L$32),"")</f>
        <v>2.0337784338743354</v>
      </c>
      <c r="H28" s="363"/>
      <c r="I28" s="848"/>
      <c r="J28" s="849"/>
      <c r="K28" s="217" t="s">
        <v>718</v>
      </c>
      <c r="L28" s="887">
        <v>35</v>
      </c>
      <c r="M28" s="888"/>
      <c r="N28" s="889">
        <v>20</v>
      </c>
      <c r="O28" s="890"/>
      <c r="P28" s="352"/>
    </row>
    <row r="29" spans="1:23" ht="14.45" customHeight="1" thickBot="1">
      <c r="A29" s="885"/>
      <c r="B29" s="137" t="s">
        <v>9</v>
      </c>
      <c r="C29" s="239">
        <f>IFERROR(VLOOKUP(B29,INGREDIENTS!$R$6:$U$171,4,FALSE), "")</f>
        <v>0.12</v>
      </c>
      <c r="D29" s="137" t="s">
        <v>2570</v>
      </c>
      <c r="E29" s="138">
        <v>15</v>
      </c>
      <c r="F29" s="139">
        <v>30</v>
      </c>
      <c r="G29" s="159">
        <f>IFERROR((VLOOKUP(D29,INGREDIENTS!$AA$6:$AB$14,2,FALSE))*((1.65*(0.000125^($L$31-1))*((1-EXP(-0.04*E29))/4.15))*C29*F29*1000)/($L$32),"")</f>
        <v>6.6969215436146339</v>
      </c>
      <c r="H29" s="363"/>
      <c r="I29" s="365" t="s">
        <v>714</v>
      </c>
      <c r="J29" s="366"/>
      <c r="K29" s="352"/>
      <c r="L29" s="352"/>
      <c r="M29" s="352"/>
      <c r="N29" s="352"/>
      <c r="O29" s="352"/>
      <c r="P29" s="352"/>
      <c r="U29" s="227" t="s">
        <v>867</v>
      </c>
    </row>
    <row r="30" spans="1:23" ht="15" customHeight="1">
      <c r="A30" s="885"/>
      <c r="B30" s="137"/>
      <c r="C30" s="239"/>
      <c r="D30" s="137"/>
      <c r="E30" s="138"/>
      <c r="F30" s="139"/>
      <c r="G30" s="159" t="str">
        <f>IFERROR((VLOOKUP(D30,INGREDIENTS!$AA$6:$AB$14,2,FALSE))*((1.65*(0.000125^($L$31-1))*((1-EXP(-0.04*E30))/4.15))*C30*F30*1000)/($L$32),"")</f>
        <v/>
      </c>
      <c r="H30" s="363"/>
      <c r="I30" s="891" t="s">
        <v>638</v>
      </c>
      <c r="J30" s="892"/>
      <c r="K30" s="179"/>
      <c r="L30" s="897" t="s">
        <v>737</v>
      </c>
      <c r="M30" s="898"/>
      <c r="N30" s="180" t="s">
        <v>630</v>
      </c>
      <c r="O30" s="207"/>
      <c r="P30" s="352"/>
      <c r="U30" s="227" t="s">
        <v>868</v>
      </c>
    </row>
    <row r="31" spans="1:23" ht="15.6" customHeight="1">
      <c r="A31" s="885"/>
      <c r="B31" s="137"/>
      <c r="C31" s="239" t="str">
        <f>IFERROR(VLOOKUP(B31,INGREDIENTS!$R$6:$U$171,4,FALSE), "")</f>
        <v/>
      </c>
      <c r="D31" s="137"/>
      <c r="E31" s="138"/>
      <c r="F31" s="139"/>
      <c r="G31" s="159" t="str">
        <f>IFERROR((VLOOKUP(D31,INGREDIENTS!$AA$6:$AB$14,2,FALSE))*((1.65*(0.000125^($L$31-1))*((1-EXP(-0.04*E31))/4.15))*C31*F31*1000)/($L$32),"")</f>
        <v/>
      </c>
      <c r="H31" s="363"/>
      <c r="I31" s="893"/>
      <c r="J31" s="894"/>
      <c r="K31" s="49" t="s">
        <v>604</v>
      </c>
      <c r="L31" s="899">
        <v>1.0549999999999999</v>
      </c>
      <c r="M31" s="900"/>
      <c r="N31" s="901">
        <v>1.06</v>
      </c>
      <c r="O31" s="902"/>
      <c r="P31" s="352"/>
    </row>
    <row r="32" spans="1:23" ht="15.6" customHeight="1">
      <c r="A32" s="885"/>
      <c r="B32" s="137"/>
      <c r="C32" s="239" t="str">
        <f>IFERROR(VLOOKUP(B32,INGREDIENTS!$R$6:$U$171,4,FALSE), "")</f>
        <v/>
      </c>
      <c r="D32" s="137"/>
      <c r="E32" s="138"/>
      <c r="F32" s="139"/>
      <c r="G32" s="159" t="str">
        <f>IFERROR((VLOOKUP(D32,INGREDIENTS!$AA$6:$AB$14,2,FALSE))*((1.65*(0.000125^($L$31-1))*((1-EXP(-0.04*E32))/4.15))*C32*F32*1000)/($L$32),"")</f>
        <v/>
      </c>
      <c r="H32" s="363"/>
      <c r="I32" s="893"/>
      <c r="J32" s="894"/>
      <c r="K32" s="49" t="s">
        <v>603</v>
      </c>
      <c r="L32" s="903">
        <v>20</v>
      </c>
      <c r="M32" s="904"/>
      <c r="N32" s="905">
        <v>19</v>
      </c>
      <c r="O32" s="906"/>
      <c r="P32" s="352"/>
    </row>
    <row r="33" spans="1:18" ht="17.100000000000001" customHeight="1">
      <c r="A33" s="885"/>
      <c r="B33" s="137"/>
      <c r="C33" s="239" t="str">
        <f>IFERROR(VLOOKUP(B33,INGREDIENTS!$R$6:$U$171,4,FALSE), "")</f>
        <v/>
      </c>
      <c r="D33" s="137"/>
      <c r="E33" s="138"/>
      <c r="F33" s="139"/>
      <c r="G33" s="159" t="str">
        <f>IFERROR((VLOOKUP(D33,INGREDIENTS!$AA$6:$AB$14,2,FALSE))*((1.65*(0.000125^($L$31-1))*((1-EXP(-0.04*E33))/4.15))*C33*F33*1000)/($L$32),"")</f>
        <v/>
      </c>
      <c r="H33" s="363"/>
      <c r="I33" s="893"/>
      <c r="J33" s="894"/>
      <c r="K33" s="907" t="s">
        <v>642</v>
      </c>
      <c r="L33" s="909">
        <v>0.6952285714285712</v>
      </c>
      <c r="M33" s="910"/>
      <c r="N33" s="909">
        <f>(2.57452*N32*(N31-1)*1000)/(D20*F20)</f>
        <v>0.69838258179655033</v>
      </c>
      <c r="O33" s="913"/>
      <c r="P33" s="352"/>
    </row>
    <row r="34" spans="1:18" ht="17.100000000000001" customHeight="1" thickBot="1">
      <c r="A34" s="885"/>
      <c r="B34" s="137"/>
      <c r="C34" s="239" t="str">
        <f>IFERROR(VLOOKUP(B34,INGREDIENTS!$R$6:$U$171,4,FALSE), "")</f>
        <v/>
      </c>
      <c r="D34" s="137"/>
      <c r="E34" s="138"/>
      <c r="F34" s="139"/>
      <c r="G34" s="159" t="str">
        <f>IFERROR((VLOOKUP(D34,INGREDIENTS!$AA$6:$AB$14,2,FALSE))*((1.65*(0.000125^($L$31-1))*((1-EXP(-0.04*E34))/4.15))*C34*F34*1000)/($L$32),"")</f>
        <v/>
      </c>
      <c r="H34" s="363"/>
      <c r="I34" s="895"/>
      <c r="J34" s="896"/>
      <c r="K34" s="908"/>
      <c r="L34" s="911"/>
      <c r="M34" s="912"/>
      <c r="N34" s="911"/>
      <c r="O34" s="914"/>
      <c r="P34" s="352"/>
    </row>
    <row r="35" spans="1:18" ht="17.100000000000001" customHeight="1" thickBot="1">
      <c r="A35" s="885"/>
      <c r="B35" s="137"/>
      <c r="C35" s="239" t="str">
        <f>IFERROR(VLOOKUP(B35,INGREDIENTS!$R$6:$U$171,4,FALSE), "")</f>
        <v/>
      </c>
      <c r="D35" s="137"/>
      <c r="E35" s="138"/>
      <c r="F35" s="139"/>
      <c r="G35" s="159" t="str">
        <f>IFERROR((VLOOKUP(D35,INGREDIENTS!$AA$6:$AB$14,2,FALSE))*((1.65*(0.000125^($L$31-1))*((1-EXP(-0.04*E35))/4.15))*C35*F35*1000)/($L$32),"")</f>
        <v/>
      </c>
      <c r="H35" s="363"/>
      <c r="I35" s="784" t="s">
        <v>714</v>
      </c>
      <c r="J35" s="784"/>
      <c r="K35" s="374"/>
      <c r="L35" s="362"/>
      <c r="M35" s="362"/>
      <c r="N35" s="362"/>
      <c r="O35" s="28"/>
      <c r="P35" s="352"/>
    </row>
    <row r="36" spans="1:18" ht="14.45" customHeight="1">
      <c r="A36" s="885"/>
      <c r="B36" s="137"/>
      <c r="C36" s="239" t="str">
        <f>IFERROR(VLOOKUP(B36,INGREDIENTS!$R$6:$U$171,4,FALSE), "")</f>
        <v/>
      </c>
      <c r="D36" s="137"/>
      <c r="E36" s="138"/>
      <c r="F36" s="139"/>
      <c r="G36" s="159" t="str">
        <f>IFERROR((VLOOKUP(D36,INGREDIENTS!$AA$6:$AB$14,2,FALSE))*((1.65*(0.000125^($L$31-1))*((1-EXP(-0.04*E36))/4.15))*C36*F36*1000)/($L$32),"")</f>
        <v/>
      </c>
      <c r="H36" s="363"/>
      <c r="I36" s="917" t="s">
        <v>645</v>
      </c>
      <c r="J36" s="918"/>
      <c r="K36" s="923" t="s">
        <v>674</v>
      </c>
      <c r="L36" s="183" t="s">
        <v>646</v>
      </c>
      <c r="M36" s="184" t="s">
        <v>647</v>
      </c>
      <c r="N36" s="185" t="s">
        <v>605</v>
      </c>
      <c r="O36" s="186" t="s">
        <v>648</v>
      </c>
      <c r="P36" s="352"/>
      <c r="Q36" s="302"/>
    </row>
    <row r="37" spans="1:18" ht="14.45" customHeight="1">
      <c r="A37" s="885"/>
      <c r="B37" s="137"/>
      <c r="C37" s="239" t="str">
        <f>IFERROR(VLOOKUP(B37,INGREDIENTS!$R$6:$U$171,4,FALSE), "")</f>
        <v/>
      </c>
      <c r="D37" s="137"/>
      <c r="E37" s="138"/>
      <c r="F37" s="139"/>
      <c r="G37" s="159" t="str">
        <f>IFERROR((VLOOKUP(D37,INGREDIENTS!$AA$6:$AB$14,2,FALSE))*((1.65*(0.000125^($L$31-1))*((1-EXP(-0.04*E37))/4.15))*C37*F37*1000)/($L$32),"")</f>
        <v/>
      </c>
      <c r="H37" s="363"/>
      <c r="I37" s="919"/>
      <c r="J37" s="920"/>
      <c r="K37" s="924"/>
      <c r="L37" s="44">
        <v>19</v>
      </c>
      <c r="M37" s="45">
        <v>15</v>
      </c>
      <c r="N37" s="46">
        <v>45949</v>
      </c>
      <c r="O37" s="187">
        <f>N37+M37</f>
        <v>45964</v>
      </c>
      <c r="P37" s="352"/>
      <c r="Q37" s="305"/>
      <c r="R37" s="384"/>
    </row>
    <row r="38" spans="1:18" ht="14.45" customHeight="1">
      <c r="A38" s="885"/>
      <c r="B38" s="137"/>
      <c r="C38" s="239" t="str">
        <f>IFERROR(VLOOKUP(B38,INGREDIENTS!$R$6:$U$171,4,FALSE), "")</f>
        <v/>
      </c>
      <c r="D38" s="137"/>
      <c r="E38" s="138"/>
      <c r="F38" s="139"/>
      <c r="G38" s="159" t="str">
        <f>IFERROR((VLOOKUP(D38,INGREDIENTS!$AA$6:$AB$14,2,FALSE))*((1.65*(0.000125^($L$31-1))*((1-EXP(-0.04*E38))/4.15))*C38*F38*1000)/($L$32),"")</f>
        <v/>
      </c>
      <c r="H38" s="363"/>
      <c r="I38" s="919"/>
      <c r="J38" s="920"/>
      <c r="K38" s="924"/>
      <c r="L38" s="33" t="s">
        <v>667</v>
      </c>
      <c r="M38" s="260" t="s">
        <v>807</v>
      </c>
      <c r="N38" s="46"/>
      <c r="O38" s="187"/>
      <c r="P38" s="352"/>
      <c r="Q38" s="302"/>
      <c r="R38" s="384"/>
    </row>
    <row r="39" spans="1:18" ht="14.45" customHeight="1">
      <c r="A39" s="885"/>
      <c r="B39" s="137"/>
      <c r="C39" s="239" t="str">
        <f>IFERROR(VLOOKUP(B39,INGREDIENTS!$R$6:$U$171,4,FALSE), "")</f>
        <v/>
      </c>
      <c r="D39" s="137"/>
      <c r="E39" s="138"/>
      <c r="F39" s="139"/>
      <c r="G39" s="159" t="str">
        <f>IFERROR((VLOOKUP(D39,INGREDIENTS!$AA$6:$AB$14,2,FALSE))*((1.65*(0.000125^($L$31-1))*((1-EXP(-0.04*E39))/4.15))*C39*F39*1000)/($L$32),"")</f>
        <v/>
      </c>
      <c r="H39" s="363"/>
      <c r="I39" s="919"/>
      <c r="J39" s="920"/>
      <c r="K39" s="924"/>
      <c r="L39" s="33" t="s">
        <v>1883</v>
      </c>
      <c r="M39" s="260" t="s">
        <v>1884</v>
      </c>
      <c r="N39" s="46"/>
      <c r="O39" s="187"/>
      <c r="P39" s="352"/>
      <c r="Q39" s="306"/>
      <c r="R39" s="384"/>
    </row>
    <row r="40" spans="1:18" ht="17.45" customHeight="1">
      <c r="A40" s="885"/>
      <c r="B40" s="137"/>
      <c r="C40" s="239" t="str">
        <f>IFERROR(VLOOKUP(B40,INGREDIENTS!$R$6:$U$171,4,FALSE), "")</f>
        <v/>
      </c>
      <c r="D40" s="137"/>
      <c r="E40" s="138"/>
      <c r="F40" s="139"/>
      <c r="G40" s="159" t="str">
        <f>IFERROR((VLOOKUP(D40,INGREDIENTS!$AA$6:$AB$14,2,FALSE))*((1.65*(0.000125^($L$31-1))*((1-EXP(-0.04*E40))/4.15))*C40*F40*1000)/($L$32),"")</f>
        <v/>
      </c>
      <c r="H40" s="364"/>
      <c r="I40" s="919"/>
      <c r="J40" s="920"/>
      <c r="K40" s="924"/>
      <c r="L40" s="33" t="s">
        <v>806</v>
      </c>
      <c r="M40" s="260" t="s">
        <v>1874</v>
      </c>
      <c r="N40" s="46"/>
      <c r="O40" s="187"/>
      <c r="P40" s="352"/>
      <c r="Q40" s="306"/>
      <c r="R40" s="384"/>
    </row>
    <row r="41" spans="1:18" ht="14.45" customHeight="1">
      <c r="A41" s="885"/>
      <c r="B41" s="137"/>
      <c r="C41" s="239" t="str">
        <f>IFERROR(VLOOKUP(B41,INGREDIENTS!$R$6:$U$171,4,FALSE), "")</f>
        <v/>
      </c>
      <c r="D41" s="137"/>
      <c r="E41" s="138"/>
      <c r="F41" s="139"/>
      <c r="G41" s="159" t="str">
        <f>IFERROR((VLOOKUP(D41,INGREDIENTS!$AA$6:$AB$14,2,FALSE))*((1.65*(0.000125^($L$31-1))*((1-EXP(-0.04*E41))/4.15))*C41*F41*1000)/($L$32),"")</f>
        <v/>
      </c>
      <c r="H41" s="362"/>
      <c r="I41" s="919"/>
      <c r="J41" s="920"/>
      <c r="K41" s="924"/>
      <c r="L41" s="33" t="s">
        <v>1835</v>
      </c>
      <c r="M41" s="260" t="s">
        <v>655</v>
      </c>
      <c r="N41" s="46"/>
      <c r="O41" s="187"/>
      <c r="P41" s="352"/>
      <c r="Q41" s="306"/>
      <c r="R41" s="384"/>
    </row>
    <row r="42" spans="1:18" ht="14.45" customHeight="1">
      <c r="A42" s="885"/>
      <c r="B42" s="137"/>
      <c r="C42" s="239" t="str">
        <f>IFERROR(VLOOKUP(B42,INGREDIENTS!$R$6:$U$171,4,FALSE), "")</f>
        <v/>
      </c>
      <c r="D42" s="137"/>
      <c r="E42" s="138"/>
      <c r="F42" s="139"/>
      <c r="G42" s="159" t="str">
        <f>IFERROR((VLOOKUP(D42,INGREDIENTS!$AA$6:$AB$14,2,FALSE))*((1.65*(0.000125^($L$31-1))*((1-EXP(-0.04*E42))/4.15))*C42*F42*1000)/($L$32),"")</f>
        <v/>
      </c>
      <c r="H42" s="361"/>
      <c r="I42" s="919"/>
      <c r="J42" s="920"/>
      <c r="K42" s="925"/>
      <c r="L42" s="33"/>
      <c r="M42" s="45"/>
      <c r="N42" s="46"/>
      <c r="O42" s="187"/>
      <c r="P42" s="352"/>
      <c r="Q42" s="306"/>
      <c r="R42" s="384"/>
    </row>
    <row r="43" spans="1:18" ht="14.45" customHeight="1" thickBot="1">
      <c r="A43" s="886"/>
      <c r="B43" s="137"/>
      <c r="C43" s="239" t="str">
        <f>IFERROR(VLOOKUP(B43,INGREDIENTS!$R$6:$U$171,4,FALSE), "")</f>
        <v/>
      </c>
      <c r="D43" s="137"/>
      <c r="E43" s="138"/>
      <c r="F43" s="139"/>
      <c r="G43" s="159" t="str">
        <f>IFERROR((VLOOKUP(D43,INGREDIENTS!$AA$6:$AB$14,2,FALSE))*((1.65*(0.000125^($L$31-1))*((1-EXP(-0.04*E43))/4.15))*C43*F43*1000)/($L$32),"")</f>
        <v/>
      </c>
      <c r="H43" s="360"/>
      <c r="I43" s="919"/>
      <c r="J43" s="920"/>
      <c r="K43" s="926" t="s">
        <v>652</v>
      </c>
      <c r="L43" s="927"/>
      <c r="M43" s="927"/>
      <c r="N43" s="927"/>
      <c r="O43" s="928"/>
      <c r="P43" s="352"/>
      <c r="R43" s="384"/>
    </row>
    <row r="44" spans="1:18" ht="14.45" customHeight="1" thickBot="1">
      <c r="A44" s="160"/>
      <c r="B44" s="161" t="s">
        <v>656</v>
      </c>
      <c r="C44" s="162"/>
      <c r="D44" s="162"/>
      <c r="E44" s="163"/>
      <c r="F44" s="164">
        <f>SUM(F28:F43)</f>
        <v>32</v>
      </c>
      <c r="G44" s="165">
        <f>SUM(G28:G43)</f>
        <v>8.7306999774889693</v>
      </c>
      <c r="H44" s="360"/>
      <c r="I44" s="919"/>
      <c r="J44" s="920"/>
      <c r="K44" s="929" t="s">
        <v>605</v>
      </c>
      <c r="L44" s="42" t="s">
        <v>631</v>
      </c>
      <c r="M44" s="42" t="s">
        <v>653</v>
      </c>
      <c r="N44" s="42"/>
      <c r="O44" s="188" t="s">
        <v>654</v>
      </c>
      <c r="P44" s="352"/>
      <c r="Q44" s="304"/>
      <c r="R44" s="384"/>
    </row>
    <row r="45" spans="1:18" ht="14.45" customHeight="1">
      <c r="A45" s="352"/>
      <c r="B45" s="352"/>
      <c r="C45" s="352"/>
      <c r="D45" s="352"/>
      <c r="E45" s="352"/>
      <c r="F45" s="352"/>
      <c r="G45" s="352"/>
      <c r="H45" s="360"/>
      <c r="I45" s="919"/>
      <c r="J45" s="920"/>
      <c r="K45" s="924"/>
      <c r="L45" s="372">
        <v>1.06</v>
      </c>
      <c r="M45" s="119" t="s">
        <v>623</v>
      </c>
      <c r="N45" s="120" t="s">
        <v>623</v>
      </c>
      <c r="O45" s="189" t="s">
        <v>623</v>
      </c>
      <c r="P45" s="352"/>
      <c r="Q45" s="303"/>
      <c r="R45" s="384"/>
    </row>
    <row r="46" spans="1:18" ht="18.600000000000001" customHeight="1">
      <c r="A46" s="931" t="s">
        <v>657</v>
      </c>
      <c r="B46" s="196" t="s">
        <v>1</v>
      </c>
      <c r="C46" s="2" t="s">
        <v>752</v>
      </c>
      <c r="D46" s="196" t="s">
        <v>69</v>
      </c>
      <c r="E46" s="196" t="s">
        <v>70</v>
      </c>
      <c r="F46" s="934" t="s">
        <v>658</v>
      </c>
      <c r="G46" s="935"/>
      <c r="H46" s="360"/>
      <c r="I46" s="919"/>
      <c r="J46" s="920"/>
      <c r="K46" s="924"/>
      <c r="L46" s="372">
        <v>1.01</v>
      </c>
      <c r="M46" s="119" t="s">
        <v>623</v>
      </c>
      <c r="N46" s="120" t="s">
        <v>623</v>
      </c>
      <c r="O46" s="189" t="s">
        <v>623</v>
      </c>
      <c r="P46" s="352"/>
      <c r="R46" s="384"/>
    </row>
    <row r="47" spans="1:18" ht="14.45" customHeight="1">
      <c r="A47" s="932"/>
      <c r="B47" s="350" t="s">
        <v>821</v>
      </c>
      <c r="C47" s="293" t="s">
        <v>735</v>
      </c>
      <c r="D47" s="240" t="str">
        <f>IFERROR(VLOOKUP(B47,INGREDIENTS!$AF$6:$AT$37,7,FALSE),"")</f>
        <v/>
      </c>
      <c r="E47" s="240" t="str">
        <f>IFERROR(VLOOKUP(B47,INGREDIENTS!$AF$6:$AT$37,8,FALSE),"")</f>
        <v/>
      </c>
      <c r="F47" s="936" t="str">
        <f>IFERROR(VLOOKUP(B47,INGREDIENTS!$AF$6:$AT$37,6,FALSE),"")</f>
        <v/>
      </c>
      <c r="G47" s="937"/>
      <c r="H47" s="352"/>
      <c r="I47" s="919"/>
      <c r="J47" s="920"/>
      <c r="K47" s="924"/>
      <c r="L47" s="372"/>
      <c r="M47" s="119" t="s">
        <v>623</v>
      </c>
      <c r="N47" s="120" t="s">
        <v>623</v>
      </c>
      <c r="O47" s="189" t="s">
        <v>623</v>
      </c>
      <c r="P47" s="352"/>
      <c r="R47" s="384"/>
    </row>
    <row r="48" spans="1:18" ht="14.45" customHeight="1">
      <c r="A48" s="932"/>
      <c r="B48" s="3"/>
      <c r="C48" s="293"/>
      <c r="D48" s="240" t="str">
        <f>IFERROR(VLOOKUP(B48,INGREDIENTS!$AF$6:$AT$37,7,FALSE),"")</f>
        <v/>
      </c>
      <c r="E48" s="240" t="str">
        <f>IFERROR(VLOOKUP(B48,INGREDIENTS!$AF$6:$AT$37,8,FALSE),"")</f>
        <v/>
      </c>
      <c r="F48" s="936" t="str">
        <f>IFERROR(VLOOKUP(B48,INGREDIENTS!$AF$6:$AT$37,5,FALSE),"")</f>
        <v/>
      </c>
      <c r="G48" s="937"/>
      <c r="H48" s="352"/>
      <c r="I48" s="919"/>
      <c r="J48" s="920"/>
      <c r="K48" s="924"/>
      <c r="L48" s="372"/>
      <c r="M48" s="119" t="s">
        <v>623</v>
      </c>
      <c r="N48" s="120" t="s">
        <v>623</v>
      </c>
      <c r="O48" s="189" t="s">
        <v>623</v>
      </c>
      <c r="P48" s="352"/>
      <c r="R48" s="384"/>
    </row>
    <row r="49" spans="1:18" ht="14.45" customHeight="1" thickBot="1">
      <c r="A49" s="932"/>
      <c r="B49" s="3"/>
      <c r="C49" s="293"/>
      <c r="D49" s="240" t="str">
        <f>IFERROR(VLOOKUP(B49,INGREDIENTS!$AF$6:$AT$37,7,FALSE),"")</f>
        <v/>
      </c>
      <c r="E49" s="240" t="str">
        <f>IFERROR(VLOOKUP(B49,INGREDIENTS!$AF$6:$AT$37,8,FALSE),"")</f>
        <v/>
      </c>
      <c r="F49" s="936" t="str">
        <f>IFERROR(VLOOKUP(B49,INGREDIENTS!$AF$6:$AT$37,5,FALSE),"")</f>
        <v/>
      </c>
      <c r="G49" s="937"/>
      <c r="H49" s="352"/>
      <c r="I49" s="921"/>
      <c r="J49" s="922"/>
      <c r="K49" s="930"/>
      <c r="L49" s="373"/>
      <c r="M49" s="191"/>
      <c r="N49" s="192" t="s">
        <v>623</v>
      </c>
      <c r="O49" s="193" t="s">
        <v>623</v>
      </c>
      <c r="P49" s="352"/>
      <c r="R49" s="384"/>
    </row>
    <row r="50" spans="1:18" ht="15" customHeight="1" thickBot="1">
      <c r="A50" s="933"/>
      <c r="B50" s="3"/>
      <c r="C50" s="293"/>
      <c r="D50" s="240" t="str">
        <f>IFERROR(VLOOKUP(B50,INGREDIENTS!$AF$6:$AT$37,7,FALSE),"")</f>
        <v/>
      </c>
      <c r="E50" s="240" t="str">
        <f>IFERROR(VLOOKUP(B50,INGREDIENTS!$AF$6:$AT$37,8,FALSE),"")</f>
        <v/>
      </c>
      <c r="F50" s="936" t="str">
        <f>IFERROR(VLOOKUP(B50,INGREDIENTS!$AF$6:$AT$37,5,FALSE),"")</f>
        <v/>
      </c>
      <c r="G50" s="937"/>
      <c r="H50" s="352"/>
      <c r="I50" s="784" t="s">
        <v>714</v>
      </c>
      <c r="J50" s="784"/>
      <c r="K50" s="352"/>
      <c r="L50" s="352"/>
      <c r="M50" s="352"/>
      <c r="N50" s="352"/>
      <c r="O50" s="352"/>
      <c r="P50" s="352"/>
    </row>
    <row r="51" spans="1:18" ht="14.45" customHeight="1">
      <c r="A51" s="352"/>
      <c r="B51" s="352"/>
      <c r="C51" s="352"/>
      <c r="D51" s="352"/>
      <c r="E51" s="352"/>
      <c r="F51" s="352"/>
      <c r="G51" s="352"/>
      <c r="H51" s="352"/>
      <c r="I51" s="960" t="s">
        <v>655</v>
      </c>
      <c r="J51" s="961"/>
      <c r="K51" s="194">
        <v>43857</v>
      </c>
      <c r="L51" s="966" t="s">
        <v>629</v>
      </c>
      <c r="M51" s="967"/>
      <c r="N51" s="966" t="s">
        <v>630</v>
      </c>
      <c r="O51" s="968"/>
      <c r="P51" s="352"/>
    </row>
    <row r="52" spans="1:18" ht="14.45" customHeight="1">
      <c r="A52" s="352"/>
      <c r="B52" s="352"/>
      <c r="C52" s="352"/>
      <c r="D52" s="352"/>
      <c r="E52" s="352"/>
      <c r="F52" s="352"/>
      <c r="G52" s="352"/>
      <c r="H52" s="352"/>
      <c r="I52" s="962"/>
      <c r="J52" s="963"/>
      <c r="K52" s="208" t="s">
        <v>603</v>
      </c>
      <c r="L52" s="969">
        <v>20</v>
      </c>
      <c r="M52" s="970"/>
      <c r="N52" s="971">
        <v>18</v>
      </c>
      <c r="O52" s="972"/>
      <c r="P52" s="352"/>
    </row>
    <row r="53" spans="1:18" ht="14.45" customHeight="1">
      <c r="A53" s="352"/>
      <c r="B53" s="352"/>
      <c r="C53" s="352"/>
      <c r="D53" s="352"/>
      <c r="E53" s="352"/>
      <c r="F53" s="352"/>
      <c r="G53" s="352"/>
      <c r="H53" s="352"/>
      <c r="I53" s="962"/>
      <c r="J53" s="963"/>
      <c r="K53" s="212" t="s">
        <v>606</v>
      </c>
      <c r="L53" s="973">
        <v>1.012</v>
      </c>
      <c r="M53" s="974"/>
      <c r="N53" s="975">
        <v>1.01</v>
      </c>
      <c r="O53" s="976"/>
      <c r="P53" s="352"/>
    </row>
    <row r="54" spans="1:18" ht="14.45" customHeight="1">
      <c r="A54" s="352"/>
      <c r="B54" s="352"/>
      <c r="C54" s="352"/>
      <c r="D54" s="352"/>
      <c r="E54" s="352"/>
      <c r="F54" s="352"/>
      <c r="G54" s="352"/>
      <c r="H54" s="352"/>
      <c r="I54" s="962"/>
      <c r="J54" s="963"/>
      <c r="K54" s="208" t="s">
        <v>653</v>
      </c>
      <c r="L54" s="915" t="str">
        <f>F47</f>
        <v/>
      </c>
      <c r="M54" s="916"/>
      <c r="N54" s="915">
        <f>(N31-L53)/(N31-1)</f>
        <v>0.8</v>
      </c>
      <c r="O54" s="952"/>
      <c r="P54" s="352"/>
      <c r="R54" s="383"/>
    </row>
    <row r="55" spans="1:18" ht="14.45" customHeight="1">
      <c r="A55" s="352"/>
      <c r="B55" s="352"/>
      <c r="C55" s="352"/>
      <c r="D55" s="352"/>
      <c r="E55" s="352"/>
      <c r="F55" s="352"/>
      <c r="G55" s="352"/>
      <c r="H55" s="352"/>
      <c r="I55" s="962"/>
      <c r="J55" s="963"/>
      <c r="K55" s="208" t="s">
        <v>659</v>
      </c>
      <c r="L55" s="953">
        <f>(76.08*(L31-L53)/(1.775-L31))*(L53/0.794)</f>
        <v>5.7911721242653131</v>
      </c>
      <c r="M55" s="954"/>
      <c r="N55" s="953">
        <f>(76.08*(N31-N53)/(1.775-N31))*(N53/0.794)</f>
        <v>6.7676102235296254</v>
      </c>
      <c r="O55" s="954"/>
      <c r="P55" s="352"/>
    </row>
    <row r="56" spans="1:18" ht="14.45" customHeight="1">
      <c r="A56" s="352"/>
      <c r="B56" s="352"/>
      <c r="C56" s="352"/>
      <c r="D56" s="352"/>
      <c r="E56" s="352"/>
      <c r="F56" s="352"/>
      <c r="G56" s="352"/>
      <c r="H56" s="352"/>
      <c r="I56" s="962"/>
      <c r="J56" s="963"/>
      <c r="K56" s="41" t="s">
        <v>660</v>
      </c>
      <c r="L56" s="955" t="s">
        <v>809</v>
      </c>
      <c r="M56" s="956"/>
      <c r="N56" s="955">
        <v>2.5</v>
      </c>
      <c r="O56" s="957"/>
      <c r="P56" s="352"/>
      <c r="R56" s="383"/>
    </row>
    <row r="57" spans="1:18" ht="14.45" customHeight="1">
      <c r="A57" s="352"/>
      <c r="B57" s="352"/>
      <c r="C57" s="352"/>
      <c r="D57" s="352"/>
      <c r="E57" s="352"/>
      <c r="F57" s="352"/>
      <c r="G57" s="352"/>
      <c r="H57" s="352"/>
      <c r="I57" s="962"/>
      <c r="J57" s="963"/>
      <c r="K57" s="958" t="s">
        <v>661</v>
      </c>
      <c r="L57" s="959"/>
      <c r="M57" s="958" t="s">
        <v>662</v>
      </c>
      <c r="N57" s="959"/>
      <c r="O57" s="219" t="s">
        <v>721</v>
      </c>
      <c r="P57" s="352"/>
    </row>
    <row r="58" spans="1:18" ht="14.45" customHeight="1" thickBot="1">
      <c r="A58" s="352"/>
      <c r="B58" s="352"/>
      <c r="C58" s="352"/>
      <c r="D58" s="352"/>
      <c r="E58" s="352"/>
      <c r="F58" s="352"/>
      <c r="G58" s="352"/>
      <c r="H58" s="352"/>
      <c r="I58" s="962"/>
      <c r="J58" s="963"/>
      <c r="K58" s="940">
        <v>6</v>
      </c>
      <c r="L58" s="941"/>
      <c r="M58" s="942">
        <v>120</v>
      </c>
      <c r="N58" s="943"/>
      <c r="O58" s="234">
        <v>1</v>
      </c>
      <c r="P58" s="352"/>
      <c r="R58" s="383"/>
    </row>
    <row r="59" spans="1:18">
      <c r="A59" s="352"/>
      <c r="B59" s="352"/>
      <c r="C59" s="352"/>
      <c r="D59" s="352"/>
      <c r="E59" s="352"/>
      <c r="F59" s="352"/>
      <c r="G59" s="352"/>
      <c r="H59" s="352"/>
      <c r="I59" s="962"/>
      <c r="J59" s="963"/>
      <c r="K59" s="944" t="s">
        <v>722</v>
      </c>
      <c r="L59" s="944"/>
      <c r="M59" s="945"/>
      <c r="N59" s="230" t="s">
        <v>719</v>
      </c>
      <c r="O59" s="231">
        <f>K58*0.75*1000/(M58/O58)</f>
        <v>37.5</v>
      </c>
      <c r="P59" s="352"/>
    </row>
    <row r="60" spans="1:18" ht="15" customHeight="1" thickBot="1">
      <c r="A60" s="352"/>
      <c r="B60" s="352"/>
      <c r="C60" s="352"/>
      <c r="D60" s="352"/>
      <c r="E60" s="352"/>
      <c r="F60" s="352"/>
      <c r="G60" s="352"/>
      <c r="H60" s="352"/>
      <c r="I60" s="964"/>
      <c r="J60" s="965"/>
      <c r="K60" s="229"/>
      <c r="L60" s="229"/>
      <c r="M60" s="229"/>
      <c r="N60" s="232" t="s">
        <v>720</v>
      </c>
      <c r="O60" s="233">
        <f>K58*0.33*1000/(M58/O58)</f>
        <v>16.5</v>
      </c>
      <c r="P60" s="352"/>
      <c r="R60" s="383"/>
    </row>
    <row r="61" spans="1:18" ht="15.75" thickBot="1">
      <c r="A61" s="352"/>
      <c r="B61" s="352"/>
      <c r="C61" s="352"/>
      <c r="D61" s="352"/>
      <c r="E61" s="352"/>
      <c r="F61" s="352"/>
      <c r="G61" s="352"/>
      <c r="H61" s="352"/>
      <c r="I61" s="784" t="s">
        <v>714</v>
      </c>
      <c r="J61" s="784"/>
      <c r="K61" s="352"/>
      <c r="L61" s="352"/>
      <c r="M61" s="352"/>
      <c r="N61" s="352"/>
      <c r="O61" s="352"/>
    </row>
    <row r="62" spans="1:18">
      <c r="A62" s="352"/>
      <c r="B62" s="352"/>
      <c r="C62" s="352"/>
      <c r="D62" s="352"/>
      <c r="E62" s="352"/>
      <c r="F62" s="352"/>
      <c r="G62" s="352"/>
      <c r="H62" s="352"/>
      <c r="I62" s="352"/>
      <c r="J62" s="352"/>
      <c r="K62" s="352"/>
      <c r="L62" s="352"/>
      <c r="M62" s="352"/>
      <c r="N62" s="352"/>
      <c r="O62" s="352"/>
    </row>
    <row r="63" spans="1:18">
      <c r="A63" s="352"/>
      <c r="B63" s="352"/>
      <c r="C63" s="352"/>
      <c r="D63" s="352"/>
      <c r="E63" s="352"/>
      <c r="F63" s="352"/>
      <c r="G63" s="352"/>
      <c r="H63" s="352"/>
      <c r="I63" s="352"/>
      <c r="J63" s="352"/>
      <c r="K63" s="352"/>
      <c r="L63" s="352"/>
      <c r="M63" s="352"/>
      <c r="N63" s="352"/>
      <c r="O63" s="352"/>
    </row>
    <row r="64" spans="1:18">
      <c r="A64" s="352"/>
      <c r="B64" s="352"/>
      <c r="C64" s="352"/>
      <c r="D64" s="352"/>
      <c r="E64" s="352"/>
      <c r="F64" s="352"/>
      <c r="G64" s="352"/>
      <c r="H64" s="352"/>
      <c r="I64" s="352"/>
      <c r="J64" s="352"/>
      <c r="K64" s="352"/>
      <c r="L64" s="352"/>
      <c r="M64" s="352"/>
      <c r="N64" s="352"/>
      <c r="O64" s="401"/>
    </row>
    <row r="65" spans="1:24">
      <c r="A65" s="352"/>
      <c r="B65" s="352"/>
      <c r="C65" s="352"/>
      <c r="D65" s="352"/>
      <c r="E65" s="352"/>
      <c r="F65" s="352"/>
      <c r="G65" s="352"/>
      <c r="H65" s="352"/>
      <c r="I65" s="352"/>
      <c r="J65" s="352"/>
      <c r="K65" s="352"/>
      <c r="L65" s="352"/>
      <c r="M65" s="352"/>
      <c r="N65" s="352"/>
      <c r="O65" s="401"/>
    </row>
    <row r="66" spans="1:24">
      <c r="O66" s="220"/>
      <c r="P66" s="221"/>
    </row>
    <row r="67" spans="1:24">
      <c r="B67" s="375"/>
      <c r="C67" s="375"/>
      <c r="D67" s="375"/>
      <c r="E67" s="375"/>
      <c r="F67" s="375"/>
      <c r="G67" s="375"/>
      <c r="O67" s="220"/>
      <c r="P67" s="221"/>
      <c r="S67" s="376"/>
      <c r="T67" s="377"/>
      <c r="U67" s="376"/>
      <c r="V67" s="376"/>
      <c r="W67" s="376"/>
      <c r="X67" s="376"/>
    </row>
    <row r="68" spans="1:24">
      <c r="B68" s="375"/>
      <c r="C68" s="375"/>
      <c r="D68" s="375"/>
      <c r="E68" s="375"/>
      <c r="F68" s="375"/>
      <c r="G68" s="375"/>
      <c r="O68" s="222"/>
      <c r="P68" s="223"/>
      <c r="S68" s="378"/>
      <c r="T68" s="379"/>
      <c r="U68" s="378"/>
      <c r="V68" s="380"/>
      <c r="W68" s="381"/>
      <c r="X68" s="382"/>
    </row>
    <row r="69" spans="1:24">
      <c r="B69" s="375"/>
      <c r="C69" s="375"/>
      <c r="D69" s="375"/>
      <c r="E69" s="375"/>
      <c r="F69" s="375"/>
      <c r="G69" s="375"/>
      <c r="O69" s="222"/>
      <c r="P69" s="223"/>
      <c r="S69" s="378"/>
      <c r="T69" s="379"/>
      <c r="U69" s="378"/>
      <c r="V69" s="380"/>
      <c r="W69" s="381"/>
      <c r="X69" s="382"/>
    </row>
    <row r="70" spans="1:24">
      <c r="B70" s="375"/>
      <c r="C70" s="375"/>
      <c r="D70" s="375"/>
      <c r="E70" s="375"/>
      <c r="F70" s="375"/>
      <c r="G70" s="375"/>
      <c r="O70" s="220"/>
      <c r="P70" s="224"/>
      <c r="S70" s="378"/>
      <c r="T70" s="379"/>
      <c r="U70" s="378"/>
      <c r="V70" s="380"/>
      <c r="W70" s="381"/>
      <c r="X70" s="382"/>
    </row>
    <row r="71" spans="1:24">
      <c r="B71" s="375"/>
      <c r="C71" s="375"/>
      <c r="D71" s="375"/>
      <c r="E71" s="375"/>
      <c r="F71" s="375"/>
      <c r="G71" s="375"/>
    </row>
    <row r="72" spans="1:24">
      <c r="R72" s="225"/>
      <c r="S72" s="226"/>
      <c r="U72" s="18"/>
    </row>
    <row r="73" spans="1:24">
      <c r="R73" s="225"/>
      <c r="S73" s="226"/>
      <c r="U73" s="18"/>
    </row>
    <row r="74" spans="1:24">
      <c r="R74" s="227"/>
      <c r="U74" s="16"/>
    </row>
    <row r="75" spans="1:24">
      <c r="O75" s="228"/>
      <c r="R75" s="225"/>
      <c r="S75" s="226"/>
      <c r="U75" s="16"/>
    </row>
  </sheetData>
  <mergeCells count="121">
    <mergeCell ref="I61:J61"/>
    <mergeCell ref="N54:O54"/>
    <mergeCell ref="L55:M55"/>
    <mergeCell ref="N55:O55"/>
    <mergeCell ref="L56:M56"/>
    <mergeCell ref="N56:O56"/>
    <mergeCell ref="K57:L57"/>
    <mergeCell ref="M57:N57"/>
    <mergeCell ref="N51:O51"/>
    <mergeCell ref="L52:M52"/>
    <mergeCell ref="N52:O52"/>
    <mergeCell ref="L53:M53"/>
    <mergeCell ref="N53:O53"/>
    <mergeCell ref="L54:M54"/>
    <mergeCell ref="K58:L58"/>
    <mergeCell ref="M58:N58"/>
    <mergeCell ref="K59:M59"/>
    <mergeCell ref="A46:A50"/>
    <mergeCell ref="F46:G46"/>
    <mergeCell ref="F47:G47"/>
    <mergeCell ref="F48:G48"/>
    <mergeCell ref="F49:G49"/>
    <mergeCell ref="F50:G50"/>
    <mergeCell ref="I50:J50"/>
    <mergeCell ref="I51:J60"/>
    <mergeCell ref="L51:M51"/>
    <mergeCell ref="W25:W26"/>
    <mergeCell ref="L26:M26"/>
    <mergeCell ref="N26:O26"/>
    <mergeCell ref="Q26:R26"/>
    <mergeCell ref="A27:A43"/>
    <mergeCell ref="L27:M27"/>
    <mergeCell ref="N27:O27"/>
    <mergeCell ref="U27:V27"/>
    <mergeCell ref="L28:M28"/>
    <mergeCell ref="N28:O28"/>
    <mergeCell ref="I30:J34"/>
    <mergeCell ref="L30:M30"/>
    <mergeCell ref="L31:M31"/>
    <mergeCell ref="N31:O31"/>
    <mergeCell ref="L32:M32"/>
    <mergeCell ref="N32:O32"/>
    <mergeCell ref="K33:K34"/>
    <mergeCell ref="L33:M34"/>
    <mergeCell ref="N33:O34"/>
    <mergeCell ref="I35:J35"/>
    <mergeCell ref="I36:J49"/>
    <mergeCell ref="K36:K42"/>
    <mergeCell ref="K43:O43"/>
    <mergeCell ref="K44:K49"/>
    <mergeCell ref="N23:O23"/>
    <mergeCell ref="Q23:R23"/>
    <mergeCell ref="U23:V23"/>
    <mergeCell ref="B24:C24"/>
    <mergeCell ref="D24:F24"/>
    <mergeCell ref="Q24:R24"/>
    <mergeCell ref="U24:V24"/>
    <mergeCell ref="B25:C25"/>
    <mergeCell ref="D25:F25"/>
    <mergeCell ref="L25:M25"/>
    <mergeCell ref="N25:O25"/>
    <mergeCell ref="Q25:R25"/>
    <mergeCell ref="U25:V26"/>
    <mergeCell ref="Q20:S20"/>
    <mergeCell ref="U20:W20"/>
    <mergeCell ref="L21:M21"/>
    <mergeCell ref="N21:O21"/>
    <mergeCell ref="Q21:R21"/>
    <mergeCell ref="U21:V21"/>
    <mergeCell ref="A17:A18"/>
    <mergeCell ref="K17:K18"/>
    <mergeCell ref="L17:M18"/>
    <mergeCell ref="N17:O18"/>
    <mergeCell ref="I19:J19"/>
    <mergeCell ref="I20:J28"/>
    <mergeCell ref="L20:M20"/>
    <mergeCell ref="N20:O20"/>
    <mergeCell ref="A22:A25"/>
    <mergeCell ref="B22:C22"/>
    <mergeCell ref="D22:F22"/>
    <mergeCell ref="L22:M22"/>
    <mergeCell ref="N22:O22"/>
    <mergeCell ref="Q22:R22"/>
    <mergeCell ref="U22:V22"/>
    <mergeCell ref="B23:C23"/>
    <mergeCell ref="D23:F23"/>
    <mergeCell ref="L23:M23"/>
    <mergeCell ref="Q11:R11"/>
    <mergeCell ref="L12:M12"/>
    <mergeCell ref="I13:J13"/>
    <mergeCell ref="I14:J18"/>
    <mergeCell ref="L14:M14"/>
    <mergeCell ref="N14:O14"/>
    <mergeCell ref="L15:M15"/>
    <mergeCell ref="N15:O15"/>
    <mergeCell ref="L16:M16"/>
    <mergeCell ref="N16:O16"/>
    <mergeCell ref="R7:S7"/>
    <mergeCell ref="Q3:Q6"/>
    <mergeCell ref="B4:C4"/>
    <mergeCell ref="B5:C5"/>
    <mergeCell ref="K5:K9"/>
    <mergeCell ref="B6:C6"/>
    <mergeCell ref="A7:B7"/>
    <mergeCell ref="Q7:Q9"/>
    <mergeCell ref="A1:G1"/>
    <mergeCell ref="I1:O1"/>
    <mergeCell ref="A2:G2"/>
    <mergeCell ref="I2:O2"/>
    <mergeCell ref="B3:C3"/>
    <mergeCell ref="D3:G3"/>
    <mergeCell ref="I3:J9"/>
    <mergeCell ref="K3:M3"/>
    <mergeCell ref="A9:A16"/>
    <mergeCell ref="I10:J10"/>
    <mergeCell ref="K10:O10"/>
    <mergeCell ref="I11:J12"/>
    <mergeCell ref="K11:K12"/>
    <mergeCell ref="L11:M11"/>
    <mergeCell ref="N11:N12"/>
    <mergeCell ref="O11:O12"/>
  </mergeCells>
  <dataValidations count="1">
    <dataValidation type="list" allowBlank="1" showInputMessage="1" showErrorMessage="1" sqref="S24" xr:uid="{902E5529-E0D2-48B1-913B-C20D2B90EEA6}">
      <formula1>"Sucre,DMS,LMS,Eau"</formula1>
    </dataValidation>
  </dataValidations>
  <hyperlinks>
    <hyperlink ref="Q12" r:id="rId1" xr:uid="{B4F333CE-7FF2-40AA-A6C8-41DCE570B219}"/>
    <hyperlink ref="Q13" r:id="rId2" xr:uid="{B83EF1A2-E04E-411D-AF82-F083103DB3C0}"/>
  </hyperlinks>
  <pageMargins left="0.7" right="0.7" top="0.75" bottom="0.75" header="0.3" footer="0.3"/>
  <pageSetup paperSize="9" orientation="portrait" r:id="rId3"/>
  <drawing r:id="rId4"/>
  <extLst>
    <ext xmlns:x14="http://schemas.microsoft.com/office/spreadsheetml/2009/9/main" uri="{CCE6A557-97BC-4b89-ADB6-D9C93CAAB3DF}">
      <x14:dataValidations xmlns:xm="http://schemas.microsoft.com/office/excel/2006/main" count="8">
        <x14:dataValidation type="list" allowBlank="1" showInputMessage="1" showErrorMessage="1" xr:uid="{BB1CFB91-358E-48A8-A073-EE212D38CF35}">
          <x14:formula1>
            <xm:f>INGREDIENTS!$BD$8:$BD$182</xm:f>
          </x14:formula1>
          <xm:sqref>R7</xm:sqref>
        </x14:dataValidation>
        <x14:dataValidation type="list" allowBlank="1" showInputMessage="1" showErrorMessage="1" xr:uid="{F731EA8A-F827-4C8D-8BC7-976E2A7A92B3}">
          <x14:formula1>
            <xm:f>INGREDIENTS!$AF$6:$AF$33</xm:f>
          </x14:formula1>
          <xm:sqref>B47:B50</xm:sqref>
        </x14:dataValidation>
        <x14:dataValidation type="list" allowBlank="1" showInputMessage="1" showErrorMessage="1" xr:uid="{A1F5FF7D-C935-4703-8203-03E47D276BFC}">
          <x14:formula1>
            <xm:f>INGREDIENTS!$R$6:$R$151</xm:f>
          </x14:formula1>
          <xm:sqref>S68:S70</xm:sqref>
        </x14:dataValidation>
        <x14:dataValidation type="list" allowBlank="1" showInputMessage="1" showErrorMessage="1" xr:uid="{82216E69-81A0-480A-814F-B4F548E8DB8D}">
          <x14:formula1>
            <xm:f>INGREDIENTS!$R$6:$R$171</xm:f>
          </x14:formula1>
          <xm:sqref>B28:B43</xm:sqref>
        </x14:dataValidation>
        <x14:dataValidation type="list" allowBlank="1" showInputMessage="1" showErrorMessage="1" xr:uid="{318592F6-88B7-4392-BA46-D4ECFC66DBEA}">
          <x14:formula1>
            <xm:f>INGREDIENTS!$AA$6:$AA$14</xm:f>
          </x14:formula1>
          <xm:sqref>D28:D43 U68:U70</xm:sqref>
        </x14:dataValidation>
        <x14:dataValidation type="list" allowBlank="1" showInputMessage="1" showErrorMessage="1" xr:uid="{BB068B1B-81F7-4B50-A46E-B93C97383B1A}">
          <x14:formula1>
            <xm:f>INGREDIENTS!$I$6:$I$23</xm:f>
          </x14:formula1>
          <xm:sqref>B17</xm:sqref>
        </x14:dataValidation>
        <x14:dataValidation type="list" allowBlank="1" showInputMessage="1" showErrorMessage="1" xr:uid="{DBEC6FB6-C814-48F1-9C56-1A5CEF23C21C}">
          <x14:formula1>
            <xm:f>INGREDIENTS!$AV$6:$AV$27</xm:f>
          </x14:formula1>
          <xm:sqref>B23:C25</xm:sqref>
        </x14:dataValidation>
        <x14:dataValidation type="list" allowBlank="1" showInputMessage="1" showErrorMessage="1" xr:uid="{99F18869-CBC2-4BF0-B624-7BE7587D647F}">
          <x14:formula1>
            <xm:f>INGREDIENTS!$A$6:$A$100</xm:f>
          </x14:formula1>
          <xm:sqref>B10:B16</xm:sqref>
        </x14:dataValidation>
      </x14:dataValidations>
    </ext>
  </extLs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06AB8D-371A-4BF1-B24C-73AFC1FAD184}">
  <sheetPr codeName="Feuil1"/>
  <dimension ref="A1:AC78"/>
  <sheetViews>
    <sheetView zoomScale="90" zoomScaleNormal="90" workbookViewId="0">
      <selection activeCell="J2" sqref="J2:P2"/>
    </sheetView>
  </sheetViews>
  <sheetFormatPr baseColWidth="10" defaultColWidth="8.7109375" defaultRowHeight="15"/>
  <cols>
    <col min="1" max="1" width="10.5703125" bestFit="1" customWidth="1"/>
    <col min="2" max="2" width="18" bestFit="1" customWidth="1"/>
    <col min="3" max="3" width="10.5703125" bestFit="1" customWidth="1"/>
    <col min="4" max="4" width="8.85546875" bestFit="1" customWidth="1"/>
    <col min="5" max="5" width="9" customWidth="1"/>
    <col min="8" max="8" width="10.5703125" customWidth="1"/>
    <col min="9" max="9" width="2.85546875" customWidth="1"/>
    <col min="10" max="10" width="11.42578125" customWidth="1"/>
    <col min="12" max="12" width="16.42578125" customWidth="1"/>
    <col min="13" max="13" width="9.5703125" customWidth="1"/>
    <col min="15" max="15" width="10.140625" bestFit="1" customWidth="1"/>
    <col min="16" max="16" width="9.28515625" customWidth="1"/>
    <col min="18" max="18" width="10.42578125" customWidth="1"/>
    <col min="19" max="19" width="10.42578125" bestFit="1" customWidth="1"/>
    <col min="20" max="20" width="14" bestFit="1" customWidth="1"/>
    <col min="21" max="21" width="11.5703125" bestFit="1" customWidth="1"/>
    <col min="22" max="22" width="13.42578125" customWidth="1"/>
    <col min="23" max="23" width="11.42578125" bestFit="1" customWidth="1"/>
    <col min="24" max="24" width="9.5703125" customWidth="1"/>
    <col min="25" max="25" width="11.85546875" bestFit="1" customWidth="1"/>
    <col min="26" max="26" width="11.5703125" customWidth="1"/>
    <col min="27" max="27" width="10.28515625" customWidth="1"/>
  </cols>
  <sheetData>
    <row r="1" spans="1:29" ht="30.75" thickBot="1">
      <c r="A1" s="758" t="s">
        <v>2008</v>
      </c>
      <c r="B1" s="759"/>
      <c r="C1" s="759"/>
      <c r="D1" s="759"/>
      <c r="E1" s="759"/>
      <c r="F1" s="759"/>
      <c r="G1" s="759"/>
      <c r="H1" s="760"/>
      <c r="I1" s="353"/>
      <c r="J1" s="761" t="s">
        <v>665</v>
      </c>
      <c r="K1" s="762"/>
      <c r="L1" s="762"/>
      <c r="M1" s="762"/>
      <c r="N1" s="762"/>
      <c r="O1" s="762"/>
      <c r="P1" s="763"/>
      <c r="Q1" s="352"/>
    </row>
    <row r="2" spans="1:29" ht="66.95" customHeight="1" thickBot="1">
      <c r="A2" s="584"/>
      <c r="B2" s="992" t="s">
        <v>2608</v>
      </c>
      <c r="C2" s="992"/>
      <c r="D2" s="992"/>
      <c r="E2" s="992"/>
      <c r="F2" s="992"/>
      <c r="G2" s="992"/>
      <c r="H2" s="992"/>
      <c r="I2" s="354"/>
      <c r="J2" s="993"/>
      <c r="K2" s="993"/>
      <c r="L2" s="993"/>
      <c r="M2" s="993"/>
      <c r="N2" s="993"/>
      <c r="O2" s="993"/>
      <c r="P2" s="993"/>
      <c r="Q2" s="352"/>
    </row>
    <row r="3" spans="1:29" ht="14.45" customHeight="1">
      <c r="A3" s="142" t="s">
        <v>601</v>
      </c>
      <c r="B3" s="582" t="s">
        <v>1886</v>
      </c>
      <c r="C3" s="770" t="s">
        <v>602</v>
      </c>
      <c r="D3" s="770"/>
      <c r="E3" s="770"/>
      <c r="F3" s="770"/>
      <c r="G3" s="770"/>
      <c r="H3" s="771"/>
      <c r="I3" s="355"/>
      <c r="J3" s="772" t="s">
        <v>615</v>
      </c>
      <c r="K3" s="773"/>
      <c r="L3" s="778" t="s">
        <v>616</v>
      </c>
      <c r="M3" s="779"/>
      <c r="N3" s="780"/>
      <c r="O3" s="518">
        <v>20</v>
      </c>
      <c r="P3" s="519">
        <v>69.400000000000006</v>
      </c>
      <c r="Q3" s="352"/>
      <c r="R3" s="996" t="s">
        <v>624</v>
      </c>
      <c r="S3" s="615" t="s">
        <v>2087</v>
      </c>
      <c r="T3" s="615" t="s">
        <v>2089</v>
      </c>
      <c r="U3" s="615" t="s">
        <v>2088</v>
      </c>
      <c r="V3" s="615" t="s">
        <v>2092</v>
      </c>
      <c r="W3" s="615" t="s">
        <v>2091</v>
      </c>
      <c r="X3" s="615" t="s">
        <v>2090</v>
      </c>
      <c r="Y3" s="615" t="s">
        <v>23</v>
      </c>
      <c r="Z3" s="998" t="s">
        <v>625</v>
      </c>
      <c r="AA3" s="392"/>
      <c r="AB3" s="392"/>
    </row>
    <row r="4" spans="1:29" ht="14.45" customHeight="1">
      <c r="A4" s="143" t="s">
        <v>603</v>
      </c>
      <c r="B4" s="580">
        <v>20</v>
      </c>
      <c r="C4" s="37" t="s">
        <v>604</v>
      </c>
      <c r="D4" s="1000">
        <f>H26</f>
        <v>1.0643646856158484</v>
      </c>
      <c r="E4" s="1001"/>
      <c r="F4" s="37" t="s">
        <v>612</v>
      </c>
      <c r="G4" s="1002">
        <f>(76.08*(D4-D5)/(1.775-D4))*(D5/0.794)</f>
        <v>6.6256012175701713</v>
      </c>
      <c r="H4" s="1003"/>
      <c r="I4" s="356"/>
      <c r="J4" s="774"/>
      <c r="K4" s="775"/>
      <c r="L4" s="121" t="s">
        <v>911</v>
      </c>
      <c r="M4" s="1142">
        <v>5.4</v>
      </c>
      <c r="N4" s="1143"/>
      <c r="O4" s="313" t="s">
        <v>646</v>
      </c>
      <c r="P4" s="27" t="s">
        <v>647</v>
      </c>
      <c r="Q4" s="352"/>
      <c r="R4" s="997"/>
      <c r="S4" s="307" t="s">
        <v>872</v>
      </c>
      <c r="T4" s="307" t="s">
        <v>874</v>
      </c>
      <c r="U4" s="307" t="s">
        <v>876</v>
      </c>
      <c r="V4" s="307" t="s">
        <v>878</v>
      </c>
      <c r="W4" s="307" t="s">
        <v>880</v>
      </c>
      <c r="X4" s="307" t="s">
        <v>882</v>
      </c>
      <c r="Y4" s="47"/>
      <c r="Z4" s="999"/>
      <c r="AA4" s="392"/>
      <c r="AB4" s="392"/>
    </row>
    <row r="5" spans="1:29" ht="14.45" customHeight="1">
      <c r="A5" s="143" t="s">
        <v>605</v>
      </c>
      <c r="B5" s="581">
        <v>45989</v>
      </c>
      <c r="C5" s="37" t="s">
        <v>606</v>
      </c>
      <c r="D5" s="1004">
        <f>N52</f>
        <v>1.016</v>
      </c>
      <c r="E5" s="1005"/>
      <c r="F5" s="37" t="s">
        <v>614</v>
      </c>
      <c r="G5" s="1006">
        <f>N55</f>
        <v>2.5</v>
      </c>
      <c r="H5" s="1007"/>
      <c r="I5" s="357"/>
      <c r="J5" s="774"/>
      <c r="K5" s="775"/>
      <c r="L5" s="751" t="s">
        <v>622</v>
      </c>
      <c r="M5" s="1138" t="s">
        <v>2334</v>
      </c>
      <c r="N5" s="1139"/>
      <c r="O5" s="36">
        <v>58</v>
      </c>
      <c r="P5" s="27">
        <v>10</v>
      </c>
      <c r="Q5" s="352"/>
      <c r="R5" s="616" t="s">
        <v>2085</v>
      </c>
      <c r="S5" s="609">
        <v>52</v>
      </c>
      <c r="T5" s="609">
        <v>70</v>
      </c>
      <c r="U5" s="609">
        <v>126</v>
      </c>
      <c r="V5" s="609">
        <v>10.3</v>
      </c>
      <c r="W5" s="609">
        <v>23.8</v>
      </c>
      <c r="X5" s="609">
        <v>286</v>
      </c>
      <c r="Y5" s="610">
        <v>7.5</v>
      </c>
      <c r="Z5" s="617">
        <f>T5/S5</f>
        <v>1.3461538461538463</v>
      </c>
      <c r="AA5" s="392"/>
      <c r="AB5" s="392"/>
    </row>
    <row r="6" spans="1:29" ht="14.45" customHeight="1" thickBot="1">
      <c r="A6" s="143"/>
      <c r="B6" s="593"/>
      <c r="C6" s="37" t="s">
        <v>608</v>
      </c>
      <c r="D6" s="1008">
        <f>E26</f>
        <v>10.065039361900233</v>
      </c>
      <c r="E6" s="1009"/>
      <c r="F6" s="37" t="s">
        <v>618</v>
      </c>
      <c r="G6" s="1002">
        <f>D7/((D4-1)*1000)</f>
        <v>0.41935138606737943</v>
      </c>
      <c r="H6" s="1003"/>
      <c r="I6" s="356"/>
      <c r="J6" s="774"/>
      <c r="K6" s="775"/>
      <c r="L6" s="752"/>
      <c r="M6" s="1138" t="s">
        <v>2335</v>
      </c>
      <c r="N6" s="1139"/>
      <c r="O6" s="36">
        <v>66</v>
      </c>
      <c r="P6" s="27">
        <v>50</v>
      </c>
      <c r="Q6" s="352"/>
      <c r="R6" s="653" t="s">
        <v>2086</v>
      </c>
      <c r="S6" s="654"/>
      <c r="T6" s="654"/>
      <c r="U6" s="654"/>
      <c r="V6" s="654"/>
      <c r="W6" s="654"/>
      <c r="X6" s="654"/>
      <c r="Y6" s="655"/>
      <c r="Z6" s="656"/>
      <c r="AA6" s="392"/>
      <c r="AB6" s="392"/>
    </row>
    <row r="7" spans="1:29" ht="15.75" customHeight="1" thickBot="1">
      <c r="A7" s="597"/>
      <c r="B7" s="598"/>
      <c r="C7" s="145" t="s">
        <v>610</v>
      </c>
      <c r="D7" s="1010">
        <f>H52</f>
        <v>26.991420126797145</v>
      </c>
      <c r="E7" s="1011"/>
      <c r="F7" s="146" t="s">
        <v>621</v>
      </c>
      <c r="G7" s="994">
        <f>D7/(0.1808*(259-(259/D4))+(0.8192*(259-(259/D5))))</f>
        <v>4.372455969724844</v>
      </c>
      <c r="H7" s="995"/>
      <c r="I7" s="358"/>
      <c r="J7" s="774"/>
      <c r="K7" s="775"/>
      <c r="L7" s="752"/>
      <c r="M7" s="1138" t="s">
        <v>2336</v>
      </c>
      <c r="N7" s="1139"/>
      <c r="O7" s="36">
        <v>71</v>
      </c>
      <c r="P7" s="27">
        <v>5</v>
      </c>
      <c r="Q7" s="352"/>
      <c r="R7" s="1019" t="s">
        <v>2084</v>
      </c>
      <c r="S7" s="657" t="s">
        <v>2085</v>
      </c>
      <c r="T7" s="1022" t="s">
        <v>2226</v>
      </c>
      <c r="U7" s="1023"/>
      <c r="V7" s="1023"/>
      <c r="W7" s="658" t="str">
        <f>VLOOKUP(T7,Tableau4[],2,FALSE)</f>
        <v>IPA</v>
      </c>
      <c r="X7" s="659" t="str">
        <f>VLOOKUP(T7,Tableau4[],3,FALSE)</f>
        <v>12C</v>
      </c>
      <c r="Y7" s="660"/>
      <c r="Z7" s="661"/>
    </row>
    <row r="8" spans="1:29" ht="15.75" customHeight="1" thickBot="1">
      <c r="A8" s="355"/>
      <c r="B8" s="367"/>
      <c r="D8" s="352"/>
      <c r="E8" s="352"/>
      <c r="F8" s="359"/>
      <c r="G8" s="359"/>
      <c r="H8" s="472"/>
      <c r="I8" s="359"/>
      <c r="J8" s="589"/>
      <c r="K8" s="590"/>
      <c r="L8" s="752"/>
      <c r="M8" s="1138" t="s">
        <v>2337</v>
      </c>
      <c r="N8" s="1139"/>
      <c r="O8" s="36">
        <v>78</v>
      </c>
      <c r="P8" s="27">
        <v>10</v>
      </c>
      <c r="Q8" s="352"/>
      <c r="R8" s="1020"/>
      <c r="S8" s="662" t="s">
        <v>2087</v>
      </c>
      <c r="T8" s="662" t="s">
        <v>2089</v>
      </c>
      <c r="U8" s="662" t="s">
        <v>2088</v>
      </c>
      <c r="V8" s="662" t="s">
        <v>2092</v>
      </c>
      <c r="W8" s="662" t="s">
        <v>2091</v>
      </c>
      <c r="X8" s="662" t="s">
        <v>2090</v>
      </c>
      <c r="Y8" s="662"/>
      <c r="Z8" s="663" t="s">
        <v>625</v>
      </c>
      <c r="AC8" s="620"/>
    </row>
    <row r="9" spans="1:29" ht="17.45" customHeight="1" thickBot="1">
      <c r="A9" s="1024" t="s">
        <v>634</v>
      </c>
      <c r="B9" s="148" t="s">
        <v>2073</v>
      </c>
      <c r="C9" s="148" t="s">
        <v>633</v>
      </c>
      <c r="D9" s="463" t="s">
        <v>666</v>
      </c>
      <c r="E9" s="523" t="s">
        <v>2</v>
      </c>
      <c r="F9" s="524" t="s">
        <v>2076</v>
      </c>
      <c r="G9" s="524" t="s">
        <v>23</v>
      </c>
      <c r="H9" s="525" t="s">
        <v>2014</v>
      </c>
      <c r="I9" s="355"/>
      <c r="J9" s="591"/>
      <c r="K9" s="592"/>
      <c r="L9" s="753"/>
      <c r="M9" s="1140" t="s">
        <v>620</v>
      </c>
      <c r="N9" s="1141"/>
      <c r="O9" s="176">
        <v>67</v>
      </c>
      <c r="P9" s="177">
        <f>SUM(P5:P7)</f>
        <v>65</v>
      </c>
      <c r="Q9" s="352"/>
      <c r="R9" s="1020"/>
      <c r="S9" s="613">
        <f>VLOOKUP($T$7,Tableau4[],16,FALSE)</f>
        <v>150</v>
      </c>
      <c r="T9" s="613">
        <f>VLOOKUP($T$7,Tableau4[],18,FALSE)</f>
        <v>0</v>
      </c>
      <c r="U9" s="613">
        <f>VLOOKUP($T$7,Tableau4[],20,FALSE)</f>
        <v>50</v>
      </c>
      <c r="V9" s="613">
        <f>VLOOKUP($T$7,Tableau4[],22,FALSE)</f>
        <v>5</v>
      </c>
      <c r="W9" s="613">
        <f>VLOOKUP($T$7,Tableau4[],24,FALSE)</f>
        <v>10</v>
      </c>
      <c r="X9" s="613">
        <f>VLOOKUP($T$7,Tableau4[],26,FALSE)</f>
        <v>0</v>
      </c>
      <c r="Y9" s="614" t="s">
        <v>887</v>
      </c>
      <c r="Z9" s="664">
        <f>VLOOKUP($T$7,Tableau4[],14,FALSE)</f>
        <v>1.5</v>
      </c>
      <c r="AC9" s="620"/>
    </row>
    <row r="10" spans="1:29" ht="15.75" customHeight="1" thickBot="1">
      <c r="A10" s="1025"/>
      <c r="B10" s="237" t="s">
        <v>50</v>
      </c>
      <c r="C10" s="450">
        <v>4500</v>
      </c>
      <c r="D10" s="465">
        <f t="shared" ref="D10:D23" si="0">C10/$C$26</f>
        <v>0.75630252100840334</v>
      </c>
      <c r="E10" s="526">
        <f>IFERROR(VLOOKUP(B10,INGREDIENTS!$A$6:$E$109,3,FALSE),"")</f>
        <v>3</v>
      </c>
      <c r="F10" s="527">
        <f>IFERROR(VLOOKUP(B10,INGREDIENTS!$A$6:$E$109,2,FALSE),"")</f>
        <v>0.8</v>
      </c>
      <c r="G10" s="528">
        <f>IFERROR(VLOOKUP(B10,INGREDIENTS!$A$6:$E$121,5,FALSE),"")</f>
        <v>5.7</v>
      </c>
      <c r="H10" s="529">
        <f>IFERROR(VLOOKUP(B10,INGREDIENTS!$A$6:$F$121,6,FALSE),"")</f>
        <v>300</v>
      </c>
      <c r="I10" s="360"/>
      <c r="J10" s="801" t="s">
        <v>714</v>
      </c>
      <c r="K10" s="801"/>
      <c r="L10" s="801"/>
      <c r="M10" s="801"/>
      <c r="N10" s="801"/>
      <c r="O10" s="801"/>
      <c r="P10" s="801"/>
      <c r="Q10" s="352"/>
      <c r="R10" s="1020"/>
      <c r="S10" s="618">
        <f>VLOOKUP($T$7,Tableau4[],17,FALSE)</f>
        <v>250</v>
      </c>
      <c r="T10" s="618">
        <f>VLOOKUP($T$7,Tableau4[],19,FALSE)</f>
        <v>50</v>
      </c>
      <c r="U10" s="618">
        <f>VLOOKUP($T$7,Tableau4[],21,FALSE)</f>
        <v>100</v>
      </c>
      <c r="V10" s="618">
        <f>VLOOKUP($T$7,Tableau4[],23,FALSE)</f>
        <v>20</v>
      </c>
      <c r="W10" s="618">
        <f>VLOOKUP($T$7,Tableau4[],25,FALSE)</f>
        <v>30</v>
      </c>
      <c r="X10" s="618">
        <f>VLOOKUP($T$7,Tableau4[],27,FALSE)</f>
        <v>50</v>
      </c>
      <c r="Y10" s="619" t="s">
        <v>888</v>
      </c>
      <c r="Z10" s="665">
        <f>VLOOKUP($T$7,Tableau4[],15,FALSE)</f>
        <v>3</v>
      </c>
      <c r="AC10" s="620"/>
    </row>
    <row r="11" spans="1:29">
      <c r="A11" s="1025"/>
      <c r="B11" s="237" t="s">
        <v>26</v>
      </c>
      <c r="C11" s="450">
        <v>1000</v>
      </c>
      <c r="D11" s="465">
        <f t="shared" si="0"/>
        <v>0.16806722689075632</v>
      </c>
      <c r="E11" s="526">
        <f>IFERROR(VLOOKUP(B11,INGREDIENTS!$A$6:$E$109,3,FALSE),"")</f>
        <v>5</v>
      </c>
      <c r="F11" s="527">
        <f>IFERROR(VLOOKUP(B11,INGREDIENTS!$A$6:$E$109,2,FALSE),"")</f>
        <v>0.7</v>
      </c>
      <c r="G11" s="528">
        <f>IFERROR(VLOOKUP(B11,INGREDIENTS!$A$6:$E$121,5,FALSE),"")</f>
        <v>5.2</v>
      </c>
      <c r="H11" s="529">
        <f>IFERROR(VLOOKUP(B11,INGREDIENTS!$A$6:$F$121,6,FALSE),"")</f>
        <v>270</v>
      </c>
      <c r="I11" s="360"/>
      <c r="J11" s="786" t="s">
        <v>626</v>
      </c>
      <c r="K11" s="787"/>
      <c r="L11" s="790" t="s">
        <v>627</v>
      </c>
      <c r="M11" s="792">
        <v>14</v>
      </c>
      <c r="N11" s="793"/>
      <c r="O11" s="794" t="s">
        <v>23</v>
      </c>
      <c r="P11" s="1026">
        <v>7.2</v>
      </c>
      <c r="Q11" s="352"/>
      <c r="R11" s="1020"/>
      <c r="S11" s="662" t="s">
        <v>612</v>
      </c>
      <c r="T11" s="662" t="s">
        <v>604</v>
      </c>
      <c r="U11" s="662" t="s">
        <v>606</v>
      </c>
      <c r="V11" s="662" t="s">
        <v>693</v>
      </c>
      <c r="W11" s="662" t="s">
        <v>2</v>
      </c>
      <c r="X11" s="666" t="s">
        <v>2134</v>
      </c>
      <c r="Y11" s="610"/>
      <c r="Z11" s="663"/>
    </row>
    <row r="12" spans="1:29" ht="15.75" customHeight="1" thickBot="1">
      <c r="A12" s="1025"/>
      <c r="B12" s="237" t="s">
        <v>29</v>
      </c>
      <c r="C12" s="450">
        <v>200</v>
      </c>
      <c r="D12" s="465">
        <f t="shared" si="0"/>
        <v>3.3613445378151259E-2</v>
      </c>
      <c r="E12" s="526">
        <f>IFERROR(VLOOKUP(B12,INGREDIENTS!$A$6:$E$109,3,FALSE),"")</f>
        <v>5</v>
      </c>
      <c r="F12" s="527">
        <f>IFERROR(VLOOKUP(B12,INGREDIENTS!$A$6:$E$109,2,FALSE),"")</f>
        <v>0.77</v>
      </c>
      <c r="G12" s="528">
        <f>IFERROR(VLOOKUP(B12,INGREDIENTS!$A$6:$E$121,5,FALSE),"")</f>
        <v>5.2</v>
      </c>
      <c r="H12" s="529">
        <f>IFERROR(VLOOKUP(B12,INGREDIENTS!$A$6:$F$121,6,FALSE),"")</f>
        <v>270</v>
      </c>
      <c r="I12" s="360"/>
      <c r="J12" s="788"/>
      <c r="K12" s="789"/>
      <c r="L12" s="791"/>
      <c r="M12" s="799">
        <v>78</v>
      </c>
      <c r="N12" s="800"/>
      <c r="O12" s="795"/>
      <c r="P12" s="1027"/>
      <c r="Q12" s="352"/>
      <c r="R12" s="1020"/>
      <c r="S12" s="613">
        <f>VLOOKUP($T$7,Tableau4[],8,FALSE)</f>
        <v>6</v>
      </c>
      <c r="T12" s="613">
        <f>VLOOKUP($T$7,Tableau4[],4,FALSE)</f>
        <v>1.06</v>
      </c>
      <c r="U12" s="613">
        <f>VLOOKUP($T$7,Tableau4[],6,FALSE)</f>
        <v>1.01</v>
      </c>
      <c r="V12" s="613">
        <f>VLOOKUP($T$7,Tableau4[],10,FALSE)</f>
        <v>25</v>
      </c>
      <c r="W12" s="613">
        <f>VLOOKUP($T$7,Tableau4[],12,FALSE)</f>
        <v>5.9</v>
      </c>
      <c r="X12" s="613">
        <f>VLOOKUP($T$7,Tableau4[],28,FALSE)</f>
        <v>5.2</v>
      </c>
      <c r="Y12" s="614" t="s">
        <v>887</v>
      </c>
      <c r="Z12" s="664"/>
      <c r="AB12" s="392"/>
      <c r="AC12" s="620"/>
    </row>
    <row r="13" spans="1:29" ht="14.45" customHeight="1" thickBot="1">
      <c r="A13" s="1025"/>
      <c r="B13" s="237" t="s">
        <v>13</v>
      </c>
      <c r="C13" s="450">
        <v>250</v>
      </c>
      <c r="D13" s="465">
        <f t="shared" si="0"/>
        <v>4.2016806722689079E-2</v>
      </c>
      <c r="E13" s="526">
        <f>IFERROR(VLOOKUP(B13,INGREDIENTS!$A$6:$E$109,3,FALSE),"")</f>
        <v>50</v>
      </c>
      <c r="F13" s="527">
        <f>IFERROR(VLOOKUP(B13,INGREDIENTS!$A$6:$E$109,2,FALSE),"")</f>
        <v>0.74</v>
      </c>
      <c r="G13" s="528">
        <f>IFERROR(VLOOKUP(B13,INGREDIENTS!$A$6:$E$121,5,FALSE),"")</f>
        <v>5.12</v>
      </c>
      <c r="H13" s="529">
        <f>IFERROR(VLOOKUP(B13,INGREDIENTS!$A$6:$F$121,6,FALSE),"")</f>
        <v>260</v>
      </c>
      <c r="I13" s="360"/>
      <c r="J13" s="801" t="s">
        <v>714</v>
      </c>
      <c r="K13" s="801"/>
      <c r="L13" s="261"/>
      <c r="M13" s="30"/>
      <c r="N13" s="31"/>
      <c r="O13" s="31"/>
      <c r="P13" s="28"/>
      <c r="Q13" s="352"/>
      <c r="R13" s="1021"/>
      <c r="S13" s="618">
        <f>VLOOKUP($T$7,Tableau4[],9,FALSE)</f>
        <v>9</v>
      </c>
      <c r="T13" s="618">
        <f>VLOOKUP($T$7,Tableau4[],5,FALSE)</f>
        <v>1.085</v>
      </c>
      <c r="U13" s="618">
        <f>VLOOKUP($T$7,Tableau4[],7,FALSE)</f>
        <v>1.0149999999999999</v>
      </c>
      <c r="V13" s="618">
        <f>VLOOKUP($T$7,Tableau4[],11,FALSE)</f>
        <v>60</v>
      </c>
      <c r="W13" s="618">
        <f>VLOOKUP($T$7,Tableau4[],13,FALSE)</f>
        <v>13.8</v>
      </c>
      <c r="X13" s="618">
        <f>VLOOKUP($T$7,Tableau4[],29,FALSE)</f>
        <v>5.4</v>
      </c>
      <c r="Y13" s="619" t="s">
        <v>888</v>
      </c>
      <c r="Z13" s="665"/>
      <c r="AB13" s="392"/>
      <c r="AC13" s="621"/>
    </row>
    <row r="14" spans="1:29" ht="14.45" customHeight="1">
      <c r="A14" s="1025"/>
      <c r="B14" s="237"/>
      <c r="C14" s="450"/>
      <c r="D14" s="465">
        <f t="shared" si="0"/>
        <v>0</v>
      </c>
      <c r="E14" s="526" t="str">
        <f>IFERROR(VLOOKUP(B14,INGREDIENTS!$A$6:$E$109,3,FALSE),"")</f>
        <v/>
      </c>
      <c r="F14" s="527" t="str">
        <f>IFERROR(VLOOKUP(B14,INGREDIENTS!$A$6:$E$109,2,FALSE),"")</f>
        <v/>
      </c>
      <c r="G14" s="528" t="str">
        <f>IFERROR(VLOOKUP(B14,INGREDIENTS!$A$6:$E$121,5,FALSE),"")</f>
        <v/>
      </c>
      <c r="H14" s="529" t="str">
        <f>IFERROR(VLOOKUP(B14,INGREDIENTS!$A$6:$F$121,6,FALSE),"")</f>
        <v/>
      </c>
      <c r="I14" s="360"/>
      <c r="J14" s="802" t="s">
        <v>628</v>
      </c>
      <c r="K14" s="803"/>
      <c r="L14" s="205"/>
      <c r="M14" s="542" t="s">
        <v>737</v>
      </c>
      <c r="N14" s="808" t="s">
        <v>630</v>
      </c>
      <c r="O14" s="1012"/>
      <c r="P14" s="810"/>
      <c r="Q14" s="352"/>
      <c r="AC14" s="620"/>
    </row>
    <row r="15" spans="1:29" ht="17.100000000000001" customHeight="1">
      <c r="A15" s="1025"/>
      <c r="B15" s="32"/>
      <c r="C15" s="26"/>
      <c r="D15" s="465">
        <f t="shared" si="0"/>
        <v>0</v>
      </c>
      <c r="E15" s="526" t="str">
        <f>IFERROR(VLOOKUP(B15,INGREDIENTS!$A$6:$E$109,3,FALSE),"")</f>
        <v/>
      </c>
      <c r="F15" s="527" t="str">
        <f>IFERROR(VLOOKUP(B15,INGREDIENTS!$A$6:$E$109,2,FALSE),"")</f>
        <v/>
      </c>
      <c r="G15" s="528" t="str">
        <f>IFERROR(VLOOKUP(B15,INGREDIENTS!$A$6:$E$121,5,FALSE),"")</f>
        <v/>
      </c>
      <c r="H15" s="529" t="str">
        <f>IFERROR(VLOOKUP(B15,INGREDIENTS!$A$6:$F$121,6,FALSE),"")</f>
        <v/>
      </c>
      <c r="I15" s="360"/>
      <c r="J15" s="804"/>
      <c r="K15" s="805"/>
      <c r="L15" s="38" t="s">
        <v>631</v>
      </c>
      <c r="M15" s="543">
        <v>1.0549999999999999</v>
      </c>
      <c r="N15" s="1013">
        <v>1.06</v>
      </c>
      <c r="O15" s="1014"/>
      <c r="P15" s="1015"/>
      <c r="Q15" s="352"/>
      <c r="AC15" s="620"/>
    </row>
    <row r="16" spans="1:29" ht="17.100000000000001" customHeight="1">
      <c r="A16" s="1025"/>
      <c r="B16" s="32"/>
      <c r="C16" s="26"/>
      <c r="D16" s="465">
        <f t="shared" si="0"/>
        <v>0</v>
      </c>
      <c r="E16" s="526" t="str">
        <f>IFERROR(VLOOKUP(B16,INGREDIENTS!$A$6:$E$109,3,FALSE),"")</f>
        <v/>
      </c>
      <c r="F16" s="527" t="str">
        <f>IFERROR(VLOOKUP(B16,INGREDIENTS!$A$6:$E$109,2,FALSE),"")</f>
        <v/>
      </c>
      <c r="G16" s="528" t="str">
        <f>IFERROR(VLOOKUP(B16,INGREDIENTS!$A$6:$E$121,5,FALSE),"")</f>
        <v/>
      </c>
      <c r="H16" s="529" t="str">
        <f>IFERROR(VLOOKUP(B16,INGREDIENTS!$A$6:$F$121,6,FALSE),"")</f>
        <v/>
      </c>
      <c r="I16" s="360"/>
      <c r="J16" s="804"/>
      <c r="K16" s="805"/>
      <c r="L16" s="38" t="s">
        <v>603</v>
      </c>
      <c r="M16" s="543">
        <v>25</v>
      </c>
      <c r="N16" s="1016"/>
      <c r="O16" s="1017"/>
      <c r="P16" s="1018"/>
      <c r="Q16" s="352"/>
      <c r="R16" s="798" t="s">
        <v>682</v>
      </c>
      <c r="S16" s="798"/>
      <c r="T16" s="798"/>
      <c r="AC16" s="620"/>
    </row>
    <row r="17" spans="1:29" ht="17.100000000000001" customHeight="1">
      <c r="A17" s="1025"/>
      <c r="B17" s="32"/>
      <c r="C17" s="26"/>
      <c r="D17" s="465">
        <f t="shared" si="0"/>
        <v>0</v>
      </c>
      <c r="E17" s="526" t="str">
        <f>IFERROR(VLOOKUP(B17,INGREDIENTS!$A$6:$E$109,3,FALSE),"")</f>
        <v/>
      </c>
      <c r="F17" s="527" t="str">
        <f>IFERROR(VLOOKUP(B17,INGREDIENTS!$A$6:$E$109,2,FALSE),"")</f>
        <v/>
      </c>
      <c r="G17" s="528" t="str">
        <f>IFERROR(VLOOKUP(B17,INGREDIENTS!$A$6:$E$121,5,FALSE),"")</f>
        <v/>
      </c>
      <c r="H17" s="529" t="str">
        <f>IFERROR(VLOOKUP(B17,INGREDIENTS!$A$6:$F$121,6,FALSE),"")</f>
        <v/>
      </c>
      <c r="I17" s="360"/>
      <c r="J17" s="804"/>
      <c r="K17" s="805"/>
      <c r="L17" s="1028" t="s">
        <v>607</v>
      </c>
      <c r="M17" s="1030">
        <f>(2.57452*(M15-1)*M16*1000)/(C26*(SUMPRODUCT(F10:F23,C10:C23)/$C$26))</f>
        <v>0.76308794998922103</v>
      </c>
      <c r="N17" s="1032">
        <f>(2.57452*(N15-1)*N16*1000)/(C26*(SUMPRODUCT(F10:F23,C10:C23)/$C$26))</f>
        <v>0</v>
      </c>
      <c r="O17" s="1033"/>
      <c r="P17" s="1034"/>
      <c r="Q17" s="352"/>
      <c r="R17" s="304" t="s">
        <v>870</v>
      </c>
      <c r="Z17" s="390"/>
      <c r="AA17" s="392"/>
      <c r="AC17" s="620"/>
    </row>
    <row r="18" spans="1:29" ht="17.100000000000001" customHeight="1" thickBot="1">
      <c r="A18" s="1025"/>
      <c r="B18" s="32"/>
      <c r="C18" s="26"/>
      <c r="D18" s="465">
        <f t="shared" si="0"/>
        <v>0</v>
      </c>
      <c r="E18" s="526" t="str">
        <f>IFERROR(VLOOKUP(B18,INGREDIENTS!$A$6:$E$109,3,FALSE),"")</f>
        <v/>
      </c>
      <c r="F18" s="527" t="str">
        <f>IFERROR(VLOOKUP(B18,INGREDIENTS!$A$6:$E$109,2,FALSE),"")</f>
        <v/>
      </c>
      <c r="G18" s="528" t="str">
        <f>IFERROR(VLOOKUP(B18,INGREDIENTS!$A$6:$E$121,5,FALSE),"")</f>
        <v/>
      </c>
      <c r="H18" s="529" t="str">
        <f>IFERROR(VLOOKUP(B18,INGREDIENTS!$A$6:$F$121,6,FALSE),"")</f>
        <v/>
      </c>
      <c r="I18" s="360"/>
      <c r="J18" s="806"/>
      <c r="K18" s="807"/>
      <c r="L18" s="1029"/>
      <c r="M18" s="1031"/>
      <c r="N18" s="1035"/>
      <c r="O18" s="1036"/>
      <c r="P18" s="1037"/>
      <c r="Q18" s="352"/>
      <c r="R18" s="304" t="s">
        <v>908</v>
      </c>
      <c r="Z18" s="390"/>
      <c r="AA18" s="392"/>
    </row>
    <row r="19" spans="1:29" ht="17.100000000000001" customHeight="1" thickBot="1">
      <c r="A19" s="1025"/>
      <c r="B19" s="32"/>
      <c r="C19" s="26"/>
      <c r="D19" s="465">
        <f t="shared" si="0"/>
        <v>0</v>
      </c>
      <c r="E19" s="526" t="str">
        <f>IFERROR(VLOOKUP(B19,INGREDIENTS!$A$6:$E$109,3,FALSE),"")</f>
        <v/>
      </c>
      <c r="F19" s="527" t="str">
        <f>IFERROR(VLOOKUP(B19,INGREDIENTS!$A$6:$E$109,2,FALSE),"")</f>
        <v/>
      </c>
      <c r="G19" s="528" t="str">
        <f>IFERROR(VLOOKUP(B19,INGREDIENTS!$A$6:$E$121,5,FALSE),"")</f>
        <v/>
      </c>
      <c r="H19" s="529" t="str">
        <f>IFERROR(VLOOKUP(B19,INGREDIENTS!$A$6:$F$121,6,FALSE),"")</f>
        <v/>
      </c>
      <c r="I19" s="361"/>
      <c r="J19" s="784" t="s">
        <v>714</v>
      </c>
      <c r="K19" s="784"/>
      <c r="L19" s="362"/>
      <c r="M19" s="362"/>
      <c r="N19" s="362"/>
      <c r="O19" s="362"/>
      <c r="P19" s="362"/>
      <c r="Q19" s="352"/>
      <c r="AA19" s="392"/>
    </row>
    <row r="20" spans="1:29" ht="17.45" customHeight="1" thickBot="1">
      <c r="A20" s="1038"/>
      <c r="B20" s="237" t="str">
        <f>IFERROR(VLOOKUP(A20,INGREDIENTS!$A$6:$E$38,3,FALSE),"")</f>
        <v/>
      </c>
      <c r="C20" s="450"/>
      <c r="D20" s="466">
        <f t="shared" si="0"/>
        <v>0</v>
      </c>
      <c r="E20" s="526" t="str">
        <f>IFERROR(VLOOKUP(B20,INGREDIENTS!$A$6:$E$38,3,FALSE),"")</f>
        <v/>
      </c>
      <c r="F20" s="527" t="str">
        <f>IFERROR(VLOOKUP(B20,INGREDIENTS!$A$6:$E$109,2,FALSE),"")</f>
        <v/>
      </c>
      <c r="G20" s="528" t="str">
        <f>IFERROR(VLOOKUP(B20,INGREDIENTS!$A$6:$E$121,5,FALSE),"")</f>
        <v/>
      </c>
      <c r="H20" s="529" t="str">
        <f>IFERROR(VLOOKUP(B20,INGREDIENTS!$A$6:$F$121,6,FALSE),"")</f>
        <v/>
      </c>
      <c r="I20" s="361"/>
      <c r="J20" s="844" t="s">
        <v>736</v>
      </c>
      <c r="K20" s="845"/>
      <c r="L20" s="181"/>
      <c r="M20" s="539" t="s">
        <v>737</v>
      </c>
      <c r="N20" s="850" t="s">
        <v>630</v>
      </c>
      <c r="O20" s="1039"/>
      <c r="P20" s="852"/>
      <c r="Q20" s="352"/>
      <c r="R20" s="1040" t="s">
        <v>912</v>
      </c>
      <c r="S20" s="1041"/>
      <c r="T20" s="1041"/>
      <c r="U20" s="1042"/>
    </row>
    <row r="21" spans="1:29" ht="18" customHeight="1" thickTop="1">
      <c r="A21" s="1043" t="s">
        <v>637</v>
      </c>
      <c r="B21" s="394" t="str">
        <f>IFERROR(VLOOKUP(A21,INGREDIENTS!$I$6:$L$24,3,FALSE),"")</f>
        <v/>
      </c>
      <c r="C21" s="451"/>
      <c r="D21" s="467">
        <f t="shared" si="0"/>
        <v>0</v>
      </c>
      <c r="E21" s="530" t="str">
        <f>IFERROR(VLOOKUP(B21,INGREDIENTS!$I$6:$L$37,3,FALSE),"")</f>
        <v/>
      </c>
      <c r="F21" s="531" t="str">
        <f>IFERROR(VLOOKUP(B21,INGREDIENTS!$I$6:$L$37,2,FALSE),"")</f>
        <v/>
      </c>
      <c r="G21" s="532" t="str">
        <f>IFERROR(VLOOKUP(B21,INGREDIENTS!$I$6:$L$37,5,FALSE),"")</f>
        <v/>
      </c>
      <c r="H21" s="533" t="str">
        <f>IFERROR(VLOOKUP(B21,INGREDIENTS!$I$6:$M$37,5,FALSE),"")</f>
        <v/>
      </c>
      <c r="I21" s="352"/>
      <c r="J21" s="846"/>
      <c r="K21" s="847"/>
      <c r="L21" s="570" t="s">
        <v>631</v>
      </c>
      <c r="M21" s="540">
        <v>1.06</v>
      </c>
      <c r="N21" s="1046"/>
      <c r="O21" s="1047"/>
      <c r="P21" s="1048"/>
      <c r="Q21" s="352"/>
      <c r="R21" s="1049"/>
      <c r="S21" s="861"/>
      <c r="T21" s="435" t="s">
        <v>615</v>
      </c>
      <c r="U21" s="435" t="s">
        <v>2093</v>
      </c>
    </row>
    <row r="22" spans="1:29" ht="15.6" customHeight="1">
      <c r="A22" s="1025"/>
      <c r="B22" s="237" t="str">
        <f>IFERROR(VLOOKUP(A22,INGREDIENTS!$I$6:$L$24,3,FALSE),"")</f>
        <v/>
      </c>
      <c r="C22" s="450"/>
      <c r="D22" s="465">
        <f t="shared" si="0"/>
        <v>0</v>
      </c>
      <c r="E22" s="526" t="str">
        <f>IFERROR(VLOOKUP(B22,INGREDIENTS!$I$6:$L$37,3,FALSE),"")</f>
        <v/>
      </c>
      <c r="F22" s="527" t="str">
        <f>IFERROR(VLOOKUP(B22,INGREDIENTS!$I$6:$L$37,2,FALSE),"")</f>
        <v/>
      </c>
      <c r="G22" s="528" t="str">
        <f>IFERROR(VLOOKUP(B22,INGREDIENTS!$I$6:$L$37,5,FALSE),"")</f>
        <v/>
      </c>
      <c r="H22" s="529" t="str">
        <f>IFERROR(VLOOKUP(B22,INGREDIENTS!$I$6:$M$37,5,FALSE),"")</f>
        <v/>
      </c>
      <c r="I22" s="355"/>
      <c r="J22" s="846"/>
      <c r="K22" s="847"/>
      <c r="L22" s="571" t="s">
        <v>603</v>
      </c>
      <c r="M22" s="544">
        <v>22.5</v>
      </c>
      <c r="N22" s="1050"/>
      <c r="O22" s="1050"/>
      <c r="P22" s="875"/>
      <c r="Q22" s="352"/>
      <c r="R22" s="1049" t="s">
        <v>916</v>
      </c>
      <c r="S22" s="861"/>
      <c r="T22" s="435">
        <f>G26</f>
        <v>5.5747899159663863</v>
      </c>
      <c r="U22" s="435"/>
    </row>
    <row r="23" spans="1:29" ht="14.45" customHeight="1" thickBot="1">
      <c r="A23" s="1025"/>
      <c r="B23" s="477" t="str">
        <f>IFERROR(VLOOKUP(A23,INGREDIENTS!$I$6:$L$24,3,FALSE),"")</f>
        <v/>
      </c>
      <c r="C23" s="478"/>
      <c r="D23" s="479">
        <f t="shared" si="0"/>
        <v>0</v>
      </c>
      <c r="E23" s="534" t="str">
        <f>IFERROR(VLOOKUP(B23,INGREDIENTS!$I$6:$L$37,3,FALSE),"")</f>
        <v/>
      </c>
      <c r="F23" s="535" t="str">
        <f>IFERROR(VLOOKUP(B23,INGREDIENTS!$I$6:$L$37,2,FALSE),"")</f>
        <v/>
      </c>
      <c r="G23" s="536" t="str">
        <f>IFERROR(VLOOKUP(B23,INGREDIENTS!$I$6:$L$37,5,FALSE),"")</f>
        <v/>
      </c>
      <c r="H23" s="537" t="str">
        <f>IFERROR(VLOOKUP(B23,INGREDIENTS!$I$6:$M$37,5,FALSE),"")</f>
        <v/>
      </c>
      <c r="I23" s="362"/>
      <c r="J23" s="846"/>
      <c r="K23" s="847"/>
      <c r="L23" s="243" t="s">
        <v>635</v>
      </c>
      <c r="M23" s="541">
        <v>10</v>
      </c>
      <c r="N23" s="876" t="e">
        <f>(N16-N22)*100/N16</f>
        <v>#DIV/0!</v>
      </c>
      <c r="O23" s="1051"/>
      <c r="P23" s="1052"/>
      <c r="Q23" s="352"/>
      <c r="R23" s="1049" t="s">
        <v>913</v>
      </c>
      <c r="S23" s="861"/>
      <c r="T23" s="435">
        <f>Y5</f>
        <v>7.5</v>
      </c>
      <c r="U23" s="435">
        <f>Y5</f>
        <v>7.5</v>
      </c>
    </row>
    <row r="24" spans="1:29" ht="14.45" customHeight="1" thickBot="1">
      <c r="A24" s="1053" t="s">
        <v>639</v>
      </c>
      <c r="B24" s="494" t="s">
        <v>634</v>
      </c>
      <c r="C24" s="490">
        <f>SUM(C10:C20)</f>
        <v>5950</v>
      </c>
      <c r="D24" s="487">
        <f>SUM(D10:D20)</f>
        <v>1</v>
      </c>
      <c r="E24" s="1056" t="s">
        <v>2021</v>
      </c>
      <c r="F24" s="1057"/>
      <c r="G24" s="493">
        <v>0.27500000000000002</v>
      </c>
      <c r="H24" s="482" t="s">
        <v>2077</v>
      </c>
      <c r="I24" s="362"/>
      <c r="J24" s="846"/>
      <c r="K24" s="847"/>
      <c r="L24" s="565" t="s">
        <v>636</v>
      </c>
      <c r="M24" s="566"/>
      <c r="N24" s="566"/>
      <c r="O24" s="567"/>
      <c r="P24" s="568">
        <f>((N15-1)*1000)*N16*2.57452-((N21-1)*1000)*N22*2.57452</f>
        <v>0</v>
      </c>
      <c r="Q24" s="352"/>
      <c r="R24" s="1049" t="s">
        <v>869</v>
      </c>
      <c r="S24" s="861"/>
      <c r="T24" s="435">
        <v>5.4</v>
      </c>
      <c r="U24" s="435">
        <v>5.6</v>
      </c>
    </row>
    <row r="25" spans="1:29" ht="14.45" customHeight="1">
      <c r="A25" s="1054"/>
      <c r="B25" s="485" t="s">
        <v>2024</v>
      </c>
      <c r="C25" s="491">
        <f>SUM(C21:C23)</f>
        <v>0</v>
      </c>
      <c r="D25" s="488">
        <f>SUM(D21:D23)</f>
        <v>0</v>
      </c>
      <c r="E25" s="473" t="s">
        <v>2</v>
      </c>
      <c r="F25" s="474" t="s">
        <v>2022</v>
      </c>
      <c r="G25" s="475" t="s">
        <v>23</v>
      </c>
      <c r="H25" s="484">
        <f>1+(SUMPRODUCT(H10:H23,C10:C23,F10:F23)*G24/1000/M16)/258</f>
        <v>1.0579282170542637</v>
      </c>
      <c r="I25" s="362"/>
      <c r="J25" s="846"/>
      <c r="K25" s="847"/>
      <c r="L25" s="571" t="s">
        <v>718</v>
      </c>
      <c r="M25" s="864">
        <v>10</v>
      </c>
      <c r="N25" s="865"/>
      <c r="O25" s="866">
        <v>85</v>
      </c>
      <c r="P25" s="867"/>
      <c r="Q25" s="352"/>
      <c r="R25" s="1049" t="s">
        <v>915</v>
      </c>
      <c r="S25" s="861"/>
      <c r="T25" s="436">
        <v>20</v>
      </c>
      <c r="U25" s="436">
        <v>14</v>
      </c>
    </row>
    <row r="26" spans="1:29" ht="14.45" customHeight="1" thickBot="1">
      <c r="A26" s="1055"/>
      <c r="B26" s="486" t="s">
        <v>2023</v>
      </c>
      <c r="C26" s="492">
        <f>SUM(C10:C23)</f>
        <v>5950</v>
      </c>
      <c r="D26" s="489">
        <f>SUM(D10:D23)</f>
        <v>1</v>
      </c>
      <c r="E26" s="483">
        <f>2.9396*((4.23*SUMPRODUCT(E10:E23,C10:C23)/1000)/M22)^0.6859</f>
        <v>10.065039361900233</v>
      </c>
      <c r="F26" s="480">
        <f>SUMPRODUCT(F10:F23,C10:C23)/$C$26</f>
        <v>0.77966386554621847</v>
      </c>
      <c r="G26" s="481">
        <f>SUMPRODUCT(G10:G23,C10:C23)/$C$26</f>
        <v>5.5747899159663863</v>
      </c>
      <c r="H26" s="476">
        <f>1+(SUMPRODUCT(H10:H23,C10:C23,F10:F23)*G24/1000/M22)/258</f>
        <v>1.0643646856158484</v>
      </c>
      <c r="I26" s="352"/>
      <c r="J26" s="846"/>
      <c r="K26" s="847"/>
      <c r="L26" s="571" t="s">
        <v>716</v>
      </c>
      <c r="M26" s="864">
        <v>2</v>
      </c>
      <c r="N26" s="865"/>
      <c r="O26" s="866">
        <v>85</v>
      </c>
      <c r="P26" s="867"/>
      <c r="Q26" s="352"/>
      <c r="R26" s="1077" t="s">
        <v>914</v>
      </c>
      <c r="S26" s="869"/>
      <c r="T26" s="1079">
        <v>0.8</v>
      </c>
      <c r="U26" s="1081">
        <v>0.8</v>
      </c>
    </row>
    <row r="27" spans="1:29" ht="17.25" customHeight="1" thickBot="1">
      <c r="A27" s="352"/>
      <c r="B27" s="352"/>
      <c r="C27" s="352"/>
      <c r="E27" s="352"/>
      <c r="F27" s="352"/>
      <c r="G27" s="352"/>
      <c r="H27" s="352"/>
      <c r="I27" s="355"/>
      <c r="J27" s="846"/>
      <c r="K27" s="847"/>
      <c r="L27" s="571" t="s">
        <v>717</v>
      </c>
      <c r="M27" s="864">
        <v>30</v>
      </c>
      <c r="N27" s="865"/>
      <c r="O27" s="866">
        <v>80</v>
      </c>
      <c r="P27" s="867"/>
      <c r="Q27" s="352"/>
      <c r="R27" s="1078"/>
      <c r="S27" s="871"/>
      <c r="T27" s="1080"/>
      <c r="U27" s="1082"/>
    </row>
    <row r="28" spans="1:29" ht="14.45" customHeight="1" thickBot="1">
      <c r="A28" s="853" t="s">
        <v>643</v>
      </c>
      <c r="B28" s="415" t="s">
        <v>2073</v>
      </c>
      <c r="C28" s="856" t="s">
        <v>588</v>
      </c>
      <c r="D28" s="878"/>
      <c r="E28" s="878"/>
      <c r="F28" s="878"/>
      <c r="G28" s="857"/>
      <c r="H28" s="347" t="s">
        <v>644</v>
      </c>
      <c r="I28" s="363"/>
      <c r="J28" s="848"/>
      <c r="K28" s="849"/>
      <c r="L28" s="572" t="s">
        <v>718</v>
      </c>
      <c r="M28" s="887">
        <v>35</v>
      </c>
      <c r="N28" s="888"/>
      <c r="O28" s="889">
        <v>27</v>
      </c>
      <c r="P28" s="890"/>
      <c r="Q28" s="352"/>
      <c r="R28" s="1075" t="s">
        <v>644</v>
      </c>
      <c r="S28" s="1076"/>
      <c r="T28" s="437">
        <f>((POWER(10,-T24)-POWER(10,-T23))*T25)/(T26/100)/(1.206/1000)</f>
        <v>8.1870831860142665</v>
      </c>
      <c r="U28" s="437">
        <f>((POWER(10,-U24)-POWER(10,-U23))*U25)/(U26/100)/(1.206/1000)</f>
        <v>3.5990558839874121</v>
      </c>
    </row>
    <row r="29" spans="1:29" ht="14.45" customHeight="1" thickBot="1">
      <c r="A29" s="854"/>
      <c r="B29" s="452"/>
      <c r="C29" s="410"/>
      <c r="D29" s="411"/>
      <c r="E29" s="411"/>
      <c r="F29" s="411"/>
      <c r="G29" s="411"/>
      <c r="H29" s="348"/>
      <c r="I29" s="363"/>
      <c r="J29" s="365" t="s">
        <v>714</v>
      </c>
      <c r="K29" s="366"/>
      <c r="L29" s="352"/>
      <c r="M29" s="352"/>
      <c r="N29" s="352"/>
      <c r="O29" s="352"/>
      <c r="P29" s="352"/>
      <c r="Q29" s="352"/>
    </row>
    <row r="30" spans="1:29" ht="15" customHeight="1">
      <c r="A30" s="854"/>
      <c r="B30" s="452"/>
      <c r="C30" s="410"/>
      <c r="D30" s="411"/>
      <c r="E30" s="411"/>
      <c r="F30" s="411"/>
      <c r="G30" s="411"/>
      <c r="H30" s="348"/>
      <c r="I30" s="363"/>
      <c r="J30" s="891" t="s">
        <v>638</v>
      </c>
      <c r="K30" s="892"/>
      <c r="L30" s="179"/>
      <c r="M30" s="545" t="s">
        <v>737</v>
      </c>
      <c r="N30" s="897" t="s">
        <v>630</v>
      </c>
      <c r="O30" s="1044"/>
      <c r="P30" s="1045"/>
      <c r="Q30" s="352"/>
      <c r="R30" s="1058" t="s">
        <v>1922</v>
      </c>
      <c r="S30" s="1059"/>
      <c r="T30" s="1059"/>
      <c r="U30" s="1060"/>
      <c r="W30" s="1061" t="s">
        <v>2005</v>
      </c>
      <c r="X30" s="1062"/>
      <c r="Y30" s="1062"/>
      <c r="Z30" s="1062"/>
      <c r="AA30" s="1063"/>
    </row>
    <row r="31" spans="1:29" ht="15.6" customHeight="1">
      <c r="A31" s="854"/>
      <c r="B31" s="452"/>
      <c r="C31" s="410"/>
      <c r="D31" s="411"/>
      <c r="E31" s="411"/>
      <c r="F31" s="411"/>
      <c r="G31" s="411"/>
      <c r="H31" s="348"/>
      <c r="I31" s="363"/>
      <c r="J31" s="893"/>
      <c r="K31" s="894"/>
      <c r="L31" s="49" t="s">
        <v>604</v>
      </c>
      <c r="M31" s="546">
        <v>1.06</v>
      </c>
      <c r="N31" s="1064">
        <v>1.0620000000000001</v>
      </c>
      <c r="O31" s="1065"/>
      <c r="P31" s="1066"/>
      <c r="Q31" s="352"/>
      <c r="R31" s="630"/>
      <c r="S31" s="631"/>
      <c r="T31" s="407" t="s">
        <v>615</v>
      </c>
      <c r="U31" s="438" t="s">
        <v>2093</v>
      </c>
      <c r="W31" s="633" t="s">
        <v>2006</v>
      </c>
      <c r="X31" s="668"/>
      <c r="Y31" s="431" t="s">
        <v>1851</v>
      </c>
      <c r="Z31" s="431" t="s">
        <v>646</v>
      </c>
      <c r="AA31" s="434" t="s">
        <v>2007</v>
      </c>
    </row>
    <row r="32" spans="1:29" ht="15.6" customHeight="1">
      <c r="A32" s="587"/>
      <c r="B32" s="452"/>
      <c r="C32" s="410"/>
      <c r="D32" s="411"/>
      <c r="E32" s="411"/>
      <c r="F32" s="411"/>
      <c r="G32" s="411"/>
      <c r="H32" s="348"/>
      <c r="I32" s="363"/>
      <c r="J32" s="893"/>
      <c r="K32" s="894"/>
      <c r="L32" s="49" t="s">
        <v>603</v>
      </c>
      <c r="M32" s="547">
        <v>21</v>
      </c>
      <c r="N32" s="1067">
        <v>21</v>
      </c>
      <c r="O32" s="1068"/>
      <c r="P32" s="1069"/>
      <c r="Q32" s="352"/>
      <c r="R32" s="1070" t="s">
        <v>1924</v>
      </c>
      <c r="S32" s="1071"/>
      <c r="T32" s="408"/>
      <c r="U32" s="439"/>
      <c r="W32" s="633">
        <v>1064</v>
      </c>
      <c r="X32" s="629"/>
      <c r="Y32" s="432">
        <v>46039</v>
      </c>
      <c r="Z32" s="433">
        <v>12.2</v>
      </c>
      <c r="AA32" s="731">
        <f>W32+0.00352871*(Z32-20)^2+0.225225*(Z32-20)</f>
        <v>1062.4579317163998</v>
      </c>
    </row>
    <row r="33" spans="1:28" ht="17.100000000000001" customHeight="1" thickBot="1">
      <c r="A33" s="588"/>
      <c r="B33" s="453"/>
      <c r="C33" s="412"/>
      <c r="D33" s="413"/>
      <c r="E33" s="413"/>
      <c r="F33" s="413"/>
      <c r="G33" s="413"/>
      <c r="H33" s="349"/>
      <c r="I33" s="363"/>
      <c r="J33" s="895"/>
      <c r="K33" s="896"/>
      <c r="L33" s="583" t="s">
        <v>642</v>
      </c>
      <c r="M33" s="576">
        <f>(2.57452*M32*(M31-1)*1000)/(F26*C26)</f>
        <v>0.69926604871739662</v>
      </c>
      <c r="N33" s="1072">
        <f>(2.57452*N32*(N31-1)*1000)/(F26*C26)</f>
        <v>0.72257491700797649</v>
      </c>
      <c r="O33" s="1073"/>
      <c r="P33" s="1074"/>
      <c r="Q33" s="352"/>
      <c r="R33" s="1070" t="s">
        <v>1925</v>
      </c>
      <c r="S33" s="1071"/>
      <c r="T33" s="408"/>
      <c r="U33" s="439"/>
      <c r="W33" s="633">
        <v>1020</v>
      </c>
      <c r="X33" s="629"/>
      <c r="Y33" s="432">
        <v>46042</v>
      </c>
      <c r="Z33" s="433">
        <v>24</v>
      </c>
      <c r="AA33" s="731">
        <f t="shared" ref="AA33:AA38" si="1">W33+0.00352871*(Z33-20)^2+0.225225*(Z33-20)</f>
        <v>1020.9573593599999</v>
      </c>
    </row>
    <row r="34" spans="1:28" ht="24.95" customHeight="1" thickBot="1">
      <c r="A34" s="352"/>
      <c r="B34" s="352"/>
      <c r="C34" s="352"/>
      <c r="D34" s="352"/>
      <c r="E34" s="352"/>
      <c r="F34" s="352"/>
      <c r="G34" s="352"/>
      <c r="H34" s="352"/>
      <c r="I34" s="363"/>
      <c r="J34" s="362" t="s">
        <v>714</v>
      </c>
      <c r="K34" s="362"/>
      <c r="L34" s="1136" t="s">
        <v>2397</v>
      </c>
      <c r="M34" s="1136"/>
      <c r="N34" s="1136"/>
      <c r="O34" s="1136"/>
      <c r="P34" s="1136"/>
      <c r="Q34" s="1137"/>
      <c r="R34" s="1070" t="s">
        <v>1926</v>
      </c>
      <c r="S34" s="1071"/>
      <c r="T34" s="408"/>
      <c r="U34" s="439"/>
      <c r="W34" s="633">
        <v>1018</v>
      </c>
      <c r="X34" s="629"/>
      <c r="Y34" s="432">
        <v>46044</v>
      </c>
      <c r="Z34" s="433">
        <v>22.5</v>
      </c>
      <c r="AA34" s="731">
        <f t="shared" si="1"/>
        <v>1018.5851169374999</v>
      </c>
    </row>
    <row r="35" spans="1:28" ht="17.100000000000001" customHeight="1">
      <c r="A35" s="884" t="s">
        <v>649</v>
      </c>
      <c r="B35" s="157" t="s">
        <v>2073</v>
      </c>
      <c r="C35" s="157" t="s">
        <v>633</v>
      </c>
      <c r="D35" s="157" t="s">
        <v>2080</v>
      </c>
      <c r="E35" s="157" t="s">
        <v>647</v>
      </c>
      <c r="F35" s="157" t="s">
        <v>646</v>
      </c>
      <c r="G35" s="259" t="s">
        <v>2011</v>
      </c>
      <c r="H35" s="158" t="s">
        <v>651</v>
      </c>
      <c r="I35" s="363"/>
      <c r="J35" s="1108" t="s">
        <v>645</v>
      </c>
      <c r="K35" s="1109"/>
      <c r="L35" s="552" t="s">
        <v>2074</v>
      </c>
      <c r="M35" s="553" t="s">
        <v>646</v>
      </c>
      <c r="N35" s="554" t="s">
        <v>647</v>
      </c>
      <c r="O35" s="555" t="s">
        <v>78</v>
      </c>
      <c r="P35" s="556" t="s">
        <v>605</v>
      </c>
      <c r="Q35" s="352"/>
      <c r="R35" s="1070" t="s">
        <v>1927</v>
      </c>
      <c r="S35" s="1071"/>
      <c r="T35" s="408"/>
      <c r="U35" s="439"/>
      <c r="W35" s="633">
        <v>1017</v>
      </c>
      <c r="X35" s="629"/>
      <c r="Y35" s="432">
        <v>46045</v>
      </c>
      <c r="Z35" s="433">
        <v>23.5</v>
      </c>
      <c r="AA35" s="731">
        <f t="shared" si="1"/>
        <v>1017.8315141975</v>
      </c>
      <c r="AB35" s="403"/>
    </row>
    <row r="36" spans="1:28" ht="14.45" customHeight="1">
      <c r="A36" s="885"/>
      <c r="B36" s="402" t="s">
        <v>101</v>
      </c>
      <c r="C36" s="139">
        <v>20</v>
      </c>
      <c r="D36" s="402" t="s">
        <v>599</v>
      </c>
      <c r="E36" s="138"/>
      <c r="F36" s="470" t="s">
        <v>2016</v>
      </c>
      <c r="G36" s="574">
        <f>IFERROR(VLOOKUP(B36,INGREDIENTS!$R$6:$U$171,4,FALSE), "")</f>
        <v>0.13</v>
      </c>
      <c r="H36" s="575">
        <f>IFERROR((VLOOKUP(D36,INGREDIENTS!$AA$6:$AB$14,2,FALSE))*((1.65*(0.000125^($M$31-1))*((1-EXP(-0.04*E36))/4.15))*G36*C36*1000)/($M$32),"")</f>
        <v>0</v>
      </c>
      <c r="I36" s="363"/>
      <c r="J36" s="1110"/>
      <c r="K36" s="920"/>
      <c r="L36" s="428" t="s">
        <v>807</v>
      </c>
      <c r="M36" s="44">
        <v>27</v>
      </c>
      <c r="N36" s="45"/>
      <c r="O36" s="46" t="s">
        <v>667</v>
      </c>
      <c r="P36" s="557" t="s">
        <v>2398</v>
      </c>
      <c r="Q36" s="352"/>
      <c r="R36" s="1070" t="s">
        <v>1928</v>
      </c>
      <c r="S36" s="1071"/>
      <c r="T36" s="409"/>
      <c r="U36" s="440"/>
      <c r="W36" s="685">
        <v>1016</v>
      </c>
      <c r="X36" s="632"/>
      <c r="Y36" s="729">
        <v>46046</v>
      </c>
      <c r="Z36" s="730">
        <v>21</v>
      </c>
      <c r="AA36" s="731">
        <f t="shared" si="1"/>
        <v>1016.22875371</v>
      </c>
      <c r="AB36" s="403"/>
    </row>
    <row r="37" spans="1:28" ht="14.45" customHeight="1">
      <c r="A37" s="885"/>
      <c r="B37" s="402" t="s">
        <v>101</v>
      </c>
      <c r="C37" s="139">
        <v>40</v>
      </c>
      <c r="D37" s="402" t="s">
        <v>724</v>
      </c>
      <c r="E37" s="138">
        <v>10</v>
      </c>
      <c r="F37" s="470" t="s">
        <v>2017</v>
      </c>
      <c r="G37" s="574">
        <f>IFERROR(VLOOKUP(B37,INGREDIENTS!$R$6:$U$171,4,FALSE), "")</f>
        <v>0.13</v>
      </c>
      <c r="H37" s="575">
        <f>IFERROR((VLOOKUP(D37,INGREDIENTS!$AA$6:$AB$14,2,FALSE))*((1.65*(0.000125^($M$31-1))*((1-EXP(-0.04*E37))/4.15))*G37*C37*1000)/($M$32),"")</f>
        <v>18.928972402735354</v>
      </c>
      <c r="I37" s="363"/>
      <c r="J37" s="1110"/>
      <c r="K37" s="920"/>
      <c r="L37" s="425" t="s">
        <v>1942</v>
      </c>
      <c r="M37" s="44">
        <v>27</v>
      </c>
      <c r="N37" s="45" t="s">
        <v>2402</v>
      </c>
      <c r="O37" s="46" t="s">
        <v>1932</v>
      </c>
      <c r="P37" s="557" t="s">
        <v>2399</v>
      </c>
      <c r="Q37" s="352"/>
      <c r="R37" s="1070" t="s">
        <v>1929</v>
      </c>
      <c r="S37" s="1071"/>
      <c r="T37" s="408"/>
      <c r="U37" s="439"/>
      <c r="W37" s="633"/>
      <c r="X37" s="629"/>
      <c r="Y37" s="432"/>
      <c r="Z37" s="433"/>
      <c r="AA37" s="731">
        <f t="shared" si="1"/>
        <v>-3.0930160000000004</v>
      </c>
      <c r="AB37" s="403"/>
    </row>
    <row r="38" spans="1:28" ht="14.45" customHeight="1" thickBot="1">
      <c r="A38" s="885"/>
      <c r="B38" s="402" t="s">
        <v>101</v>
      </c>
      <c r="C38" s="139">
        <v>30</v>
      </c>
      <c r="D38" s="402" t="s">
        <v>2570</v>
      </c>
      <c r="E38" s="138">
        <v>20</v>
      </c>
      <c r="F38" s="470" t="s">
        <v>2018</v>
      </c>
      <c r="G38" s="574">
        <f>IFERROR(VLOOKUP(B38,INGREDIENTS!$R$6:$U$171,4,FALSE), "")</f>
        <v>0.13</v>
      </c>
      <c r="H38" s="575">
        <f>IFERROR((VLOOKUP(D38,INGREDIENTS!$AA$6:$AB$14,2,FALSE))*((1.65*(0.000125^($M$31-1))*((1-EXP(-0.04*E38))/4.15))*G38*C38*1000)/($M$32),"")</f>
        <v>8.0624477240617889</v>
      </c>
      <c r="I38" s="363"/>
      <c r="J38" s="1110"/>
      <c r="K38" s="920"/>
      <c r="L38" s="425" t="s">
        <v>1988</v>
      </c>
      <c r="M38" s="44" t="s">
        <v>1992</v>
      </c>
      <c r="N38" s="45"/>
      <c r="O38" s="46" t="s">
        <v>2401</v>
      </c>
      <c r="P38" s="557" t="s">
        <v>2400</v>
      </c>
      <c r="Q38" s="352"/>
      <c r="R38" s="1128" t="s">
        <v>1923</v>
      </c>
      <c r="S38" s="1129"/>
      <c r="T38" s="448">
        <f>T28</f>
        <v>8.1870831860142665</v>
      </c>
      <c r="U38" s="449">
        <f>U28</f>
        <v>3.5990558839874121</v>
      </c>
      <c r="W38" s="686"/>
      <c r="X38" s="669"/>
      <c r="Y38" s="599"/>
      <c r="Z38" s="600"/>
      <c r="AA38" s="732">
        <f t="shared" si="1"/>
        <v>-3.0930160000000004</v>
      </c>
      <c r="AB38" s="403"/>
    </row>
    <row r="39" spans="1:28" ht="14.45" customHeight="1" thickBot="1">
      <c r="A39" s="885"/>
      <c r="B39" s="402" t="s">
        <v>101</v>
      </c>
      <c r="C39" s="139">
        <v>50</v>
      </c>
      <c r="D39" s="402" t="s">
        <v>1942</v>
      </c>
      <c r="E39" s="138" t="s">
        <v>2019</v>
      </c>
      <c r="F39" s="470" t="s">
        <v>1992</v>
      </c>
      <c r="G39" s="574">
        <f>IFERROR(VLOOKUP(B39,INGREDIENTS!$R$6:$U$171,4,FALSE), "")</f>
        <v>0.13</v>
      </c>
      <c r="H39" s="575" t="str">
        <f>IFERROR((VLOOKUP(D39,INGREDIENTS!$AA$6:$AB$14,2,FALSE))*((1.65*(0.000125^($M$31-1))*((1-EXP(-0.04*E39))/4.15))*G39*C39*1000)/($M$32),"")</f>
        <v/>
      </c>
      <c r="I39" s="363"/>
      <c r="J39" s="1110"/>
      <c r="K39" s="920"/>
      <c r="L39" s="425" t="s">
        <v>1962</v>
      </c>
      <c r="M39" s="44">
        <v>15</v>
      </c>
      <c r="N39" s="45"/>
      <c r="O39" s="46" t="s">
        <v>2350</v>
      </c>
      <c r="P39" s="557">
        <v>46046</v>
      </c>
      <c r="Q39" s="352"/>
      <c r="R39" s="1130"/>
      <c r="S39" s="1131"/>
      <c r="T39" s="611">
        <f>T38*0.96*1000/O3</f>
        <v>392.97999292868479</v>
      </c>
      <c r="U39" s="612">
        <f>U38*0.96*1000/M11</f>
        <v>246.79240347342255</v>
      </c>
      <c r="AB39" s="403"/>
    </row>
    <row r="40" spans="1:28" ht="17.45" customHeight="1" thickBot="1">
      <c r="A40" s="885"/>
      <c r="B40" s="402" t="s">
        <v>101</v>
      </c>
      <c r="C40" s="139">
        <v>70</v>
      </c>
      <c r="D40" s="402" t="s">
        <v>598</v>
      </c>
      <c r="E40" s="138" t="s">
        <v>1993</v>
      </c>
      <c r="F40" s="470">
        <v>15</v>
      </c>
      <c r="G40" s="574">
        <f>IFERROR(VLOOKUP(B40,INGREDIENTS!$R$6:$U$171,4,FALSE), "")</f>
        <v>0.13</v>
      </c>
      <c r="H40" s="575" t="str">
        <f>IFERROR((VLOOKUP(D40,INGREDIENTS!$AA$6:$AB$14,2,FALSE))*((1.65*(0.000125^($M$31-1))*((1-EXP(-0.04*E40))/4.15))*G40*C40*1000)/($M$32),"")</f>
        <v/>
      </c>
      <c r="I40" s="364"/>
      <c r="J40" s="1110"/>
      <c r="K40" s="920"/>
      <c r="L40" s="425" t="s">
        <v>2001</v>
      </c>
      <c r="M40" s="44">
        <v>15</v>
      </c>
      <c r="N40" s="45" t="s">
        <v>1993</v>
      </c>
      <c r="O40" s="46" t="s">
        <v>1930</v>
      </c>
      <c r="P40" s="557">
        <v>46046</v>
      </c>
      <c r="Q40" s="352"/>
      <c r="AB40" s="403"/>
    </row>
    <row r="41" spans="1:28" ht="14.45" customHeight="1">
      <c r="A41" s="885"/>
      <c r="B41" s="402" t="s">
        <v>101</v>
      </c>
      <c r="C41" s="139">
        <v>70</v>
      </c>
      <c r="D41" s="402" t="s">
        <v>1940</v>
      </c>
      <c r="E41" s="138" t="s">
        <v>2020</v>
      </c>
      <c r="F41" s="470">
        <v>15</v>
      </c>
      <c r="G41" s="574">
        <f>IFERROR(VLOOKUP(B41,INGREDIENTS!$R$6:$U$171,4,FALSE), "")</f>
        <v>0.13</v>
      </c>
      <c r="H41" s="575" t="str">
        <f>IFERROR((VLOOKUP(D41,INGREDIENTS!$AA$6:$AB$14,2,FALSE))*((1.65*(0.000125^($M$31-1))*((1-EXP(-0.04*E41))/4.15))*G41*C41*1000)/($M$32),"")</f>
        <v/>
      </c>
      <c r="I41" s="362"/>
      <c r="J41" s="1110"/>
      <c r="K41" s="920"/>
      <c r="L41" s="425" t="s">
        <v>2001</v>
      </c>
      <c r="M41" s="44">
        <v>15</v>
      </c>
      <c r="N41" s="45" t="s">
        <v>1994</v>
      </c>
      <c r="O41" s="46" t="s">
        <v>1997</v>
      </c>
      <c r="P41" s="557">
        <v>46047</v>
      </c>
      <c r="Q41" s="352"/>
      <c r="R41" s="1132" t="s">
        <v>675</v>
      </c>
      <c r="S41" s="1133"/>
      <c r="T41" s="1134"/>
      <c r="AB41" s="403"/>
    </row>
    <row r="42" spans="1:28" ht="14.45" customHeight="1">
      <c r="A42" s="885"/>
      <c r="B42" s="402" t="s">
        <v>101</v>
      </c>
      <c r="C42" s="139">
        <v>10</v>
      </c>
      <c r="D42" s="402" t="s">
        <v>1940</v>
      </c>
      <c r="E42" s="138" t="s">
        <v>673</v>
      </c>
      <c r="F42" s="470">
        <v>15</v>
      </c>
      <c r="G42" s="574">
        <f>IFERROR(VLOOKUP(B42,INGREDIENTS!$R$6:$U$171,4,FALSE), "")</f>
        <v>0.13</v>
      </c>
      <c r="H42" s="575" t="str">
        <f>IFERROR((VLOOKUP(D42,INGREDIENTS!$AA$6:$AB$14,2,FALSE))*((1.65*(0.000125^($M$31-1))*((1-EXP(-0.04*E42))/4.15))*G42*C42*1000)/($M$32),"")</f>
        <v/>
      </c>
      <c r="I42" s="361"/>
      <c r="J42" s="1110"/>
      <c r="K42" s="920"/>
      <c r="L42" s="425" t="s">
        <v>2003</v>
      </c>
      <c r="M42" s="44">
        <v>15</v>
      </c>
      <c r="N42" s="45" t="s">
        <v>1994</v>
      </c>
      <c r="O42" s="46" t="s">
        <v>1931</v>
      </c>
      <c r="P42" s="557">
        <v>46048</v>
      </c>
      <c r="Q42" s="352"/>
      <c r="R42" s="1127" t="s">
        <v>676</v>
      </c>
      <c r="S42" s="830"/>
      <c r="T42" s="441"/>
      <c r="AB42" s="403"/>
    </row>
    <row r="43" spans="1:28" ht="14.45" customHeight="1">
      <c r="A43" s="885"/>
      <c r="B43" s="402"/>
      <c r="C43" s="139"/>
      <c r="D43" s="402"/>
      <c r="E43" s="138"/>
      <c r="F43" s="470"/>
      <c r="G43" s="574" t="str">
        <f>IFERROR(VLOOKUP(B43,INGREDIENTS!$R$6:$U$171,4,FALSE), "")</f>
        <v/>
      </c>
      <c r="H43" s="575" t="str">
        <f>IFERROR((VLOOKUP(D43,INGREDIENTS!$AA$6:$AB$14,2,FALSE))*((1.65*(0.000125^($M$31-1))*((1-EXP(-0.04*E43))/4.15))*G43*C43*1000)/($M$32),"")</f>
        <v/>
      </c>
      <c r="I43" s="360"/>
      <c r="J43" s="1110"/>
      <c r="K43" s="920"/>
      <c r="L43" s="426" t="s">
        <v>1967</v>
      </c>
      <c r="M43" s="430">
        <v>4</v>
      </c>
      <c r="N43" s="429" t="s">
        <v>1995</v>
      </c>
      <c r="O43" s="429" t="s">
        <v>1931</v>
      </c>
      <c r="P43" s="557">
        <v>46048</v>
      </c>
      <c r="Q43" s="352"/>
      <c r="R43" s="1127" t="s">
        <v>677</v>
      </c>
      <c r="S43" s="830"/>
      <c r="T43" s="442"/>
      <c r="AB43" s="405"/>
    </row>
    <row r="44" spans="1:28" ht="14.45" customHeight="1">
      <c r="A44" s="885"/>
      <c r="B44" s="402"/>
      <c r="C44" s="139"/>
      <c r="D44" s="402"/>
      <c r="E44" s="138"/>
      <c r="F44" s="470"/>
      <c r="G44" s="574" t="str">
        <f>IFERROR(VLOOKUP(B44,INGREDIENTS!$R$6:$U$171,4,FALSE), "")</f>
        <v/>
      </c>
      <c r="H44" s="575" t="str">
        <f>IFERROR((VLOOKUP(D44,INGREDIENTS!$AA$6:$AB$14,2,FALSE))*((1.65*(0.000125^($M$31-1))*((1-EXP(-0.04*E44))/4.15))*G44*C44*1000)/($M$32),"")</f>
        <v/>
      </c>
      <c r="I44" s="360"/>
      <c r="J44" s="1110"/>
      <c r="K44" s="920"/>
      <c r="L44" s="427" t="s">
        <v>1985</v>
      </c>
      <c r="M44" s="424"/>
      <c r="N44" s="119"/>
      <c r="O44" s="429" t="s">
        <v>2316</v>
      </c>
      <c r="P44" s="557" t="s">
        <v>2605</v>
      </c>
      <c r="Q44" s="352"/>
      <c r="R44" s="1127" t="s">
        <v>678</v>
      </c>
      <c r="S44" s="830"/>
      <c r="T44" s="441"/>
      <c r="AB44" s="406"/>
    </row>
    <row r="45" spans="1:28" ht="14.45" customHeight="1">
      <c r="A45" s="885"/>
      <c r="B45" s="402"/>
      <c r="C45" s="139"/>
      <c r="D45" s="402"/>
      <c r="E45" s="138"/>
      <c r="F45" s="470"/>
      <c r="G45" s="574" t="str">
        <f>IFERROR(VLOOKUP(B45,INGREDIENTS!$R$6:$U$171,4,FALSE), "")</f>
        <v/>
      </c>
      <c r="H45" s="575" t="str">
        <f>IFERROR((VLOOKUP(D45,INGREDIENTS!$AA$6:$AB$14,2,FALSE))*((1.65*(0.000125^($M$31-1))*((1-EXP(-0.04*E45))/4.15))*G45*C45*1000)/($M$32),"")</f>
        <v/>
      </c>
      <c r="I45" s="360"/>
      <c r="J45" s="1110"/>
      <c r="K45" s="920"/>
      <c r="L45" s="427" t="s">
        <v>1991</v>
      </c>
      <c r="M45" s="424"/>
      <c r="N45" s="119" t="s">
        <v>623</v>
      </c>
      <c r="O45" s="429" t="s">
        <v>1998</v>
      </c>
      <c r="P45" s="557" t="s">
        <v>2606</v>
      </c>
      <c r="Q45" s="352"/>
      <c r="R45" s="1127" t="s">
        <v>679</v>
      </c>
      <c r="S45" s="830"/>
      <c r="T45" s="443" t="s">
        <v>680</v>
      </c>
    </row>
    <row r="46" spans="1:28" ht="18.600000000000001" customHeight="1">
      <c r="A46" s="885"/>
      <c r="B46" s="402"/>
      <c r="C46" s="139"/>
      <c r="D46" s="402"/>
      <c r="E46" s="138"/>
      <c r="F46" s="470"/>
      <c r="G46" s="574" t="str">
        <f>IFERROR(VLOOKUP(B46,INGREDIENTS!$R$6:$U$171,4,FALSE), "")</f>
        <v/>
      </c>
      <c r="H46" s="575" t="str">
        <f>IFERROR((VLOOKUP(D46,INGREDIENTS!$AA$6:$AB$14,2,FALSE))*((1.65*(0.000125^($M$31-1))*((1-EXP(-0.04*E46))/4.15))*G46*C46*1000)/($M$32),"")</f>
        <v/>
      </c>
      <c r="I46" s="360"/>
      <c r="J46" s="1110"/>
      <c r="K46" s="920"/>
      <c r="L46" s="427" t="s">
        <v>655</v>
      </c>
      <c r="M46" s="424"/>
      <c r="N46" s="119" t="s">
        <v>623</v>
      </c>
      <c r="O46" s="429" t="s">
        <v>1998</v>
      </c>
      <c r="P46" s="557" t="s">
        <v>2606</v>
      </c>
      <c r="Q46" s="352"/>
      <c r="R46" s="1127" t="s">
        <v>681</v>
      </c>
      <c r="S46" s="830"/>
      <c r="T46" s="444">
        <f>IF(T45="","",IF(T45="Sucre",(T44-T42)*1000*2.57452,IF(T45="DMS",(T44-T42)*1000*2.66,IF(T45="LMS",(T44-T42)*1000*3.24,IF(T45="Eau",1000*((T42-1)/(T44-1)*T43-T43)/T43)))))</f>
        <v>0</v>
      </c>
    </row>
    <row r="47" spans="1:28" ht="14.45" customHeight="1">
      <c r="A47" s="885"/>
      <c r="B47" s="402"/>
      <c r="C47" s="139"/>
      <c r="D47" s="402"/>
      <c r="E47" s="138"/>
      <c r="F47" s="470"/>
      <c r="G47" s="574" t="str">
        <f>IFERROR(VLOOKUP(B47,INGREDIENTS!$R$6:$U$171,4,FALSE), "")</f>
        <v/>
      </c>
      <c r="H47" s="575" t="str">
        <f>IFERROR((VLOOKUP(D47,INGREDIENTS!$AA$6:$AB$14,2,FALSE))*((1.65*(0.000125^($M$31-1))*((1-EXP(-0.04*E47))/4.15))*G47*C47*1000)/($M$32),"")</f>
        <v/>
      </c>
      <c r="I47" s="352"/>
      <c r="J47" s="1110"/>
      <c r="K47" s="920"/>
      <c r="L47" s="427"/>
      <c r="M47" s="424"/>
      <c r="N47" s="119" t="s">
        <v>623</v>
      </c>
      <c r="O47" s="120" t="s">
        <v>623</v>
      </c>
      <c r="P47" s="559"/>
      <c r="Q47" s="352"/>
      <c r="R47" s="1127" t="s">
        <v>681</v>
      </c>
      <c r="S47" s="830"/>
      <c r="T47" s="445">
        <f>T46*T43</f>
        <v>0</v>
      </c>
    </row>
    <row r="48" spans="1:28" ht="14.45" customHeight="1" thickBot="1">
      <c r="A48" s="885"/>
      <c r="B48" s="402"/>
      <c r="C48" s="139"/>
      <c r="D48" s="402"/>
      <c r="E48" s="138"/>
      <c r="F48" s="470"/>
      <c r="G48" s="574" t="str">
        <f>IFERROR(VLOOKUP(B48,INGREDIENTS!$R$6:$U$171,4,FALSE), "")</f>
        <v/>
      </c>
      <c r="H48" s="575" t="str">
        <f>IFERROR((VLOOKUP(D48,INGREDIENTS!$AA$6:$AB$14,2,FALSE))*((1.65*(0.000125^($M$31-1))*((1-EXP(-0.04*E48))/4.15))*G48*C48*1000)/($M$32),"")</f>
        <v/>
      </c>
      <c r="I48" s="352"/>
      <c r="J48" s="1111"/>
      <c r="K48" s="1112"/>
      <c r="L48" s="560"/>
      <c r="M48" s="561"/>
      <c r="N48" s="562"/>
      <c r="O48" s="563" t="s">
        <v>623</v>
      </c>
      <c r="P48" s="564"/>
      <c r="Q48" s="352"/>
      <c r="R48" s="1127" t="s">
        <v>1920</v>
      </c>
      <c r="S48" s="830"/>
      <c r="T48" s="446">
        <f>SUMPRODUCT(F10:F20,C10:C20)*70/1000/100</f>
        <v>3.2473000000000001</v>
      </c>
    </row>
    <row r="49" spans="1:28" ht="14.45" customHeight="1" thickBot="1">
      <c r="A49" s="885"/>
      <c r="B49" s="402"/>
      <c r="C49" s="139"/>
      <c r="D49" s="402"/>
      <c r="E49" s="138"/>
      <c r="F49" s="470"/>
      <c r="G49" s="574" t="str">
        <f>IFERROR(VLOOKUP(B49,INGREDIENTS!$R$6:$U$171,4,FALSE), "")</f>
        <v/>
      </c>
      <c r="H49" s="575" t="str">
        <f>IFERROR((VLOOKUP(D49,INGREDIENTS!$AA$6:$AB$14,2,FALSE))*((1.65*(0.000125^($M$31-1))*((1-EXP(-0.04*E49))/4.15))*G49*C49*1000)/($M$32),"")</f>
        <v/>
      </c>
      <c r="I49" s="352"/>
      <c r="J49" s="362" t="s">
        <v>714</v>
      </c>
      <c r="K49" s="362"/>
      <c r="L49" s="418" t="s">
        <v>2083</v>
      </c>
      <c r="N49" s="352"/>
      <c r="O49" s="352"/>
      <c r="P49" s="352"/>
      <c r="Q49" s="352"/>
      <c r="R49" s="1127" t="s">
        <v>1921</v>
      </c>
      <c r="S49" s="830"/>
      <c r="T49" s="447">
        <f>T48/30+1</f>
        <v>1.1082433333333332</v>
      </c>
    </row>
    <row r="50" spans="1:28" ht="15" customHeight="1">
      <c r="A50" s="885"/>
      <c r="B50" s="402"/>
      <c r="C50" s="139"/>
      <c r="D50" s="402"/>
      <c r="E50" s="138"/>
      <c r="F50" s="470"/>
      <c r="G50" s="574" t="str">
        <f>IFERROR(VLOOKUP(B50,INGREDIENTS!$R$6:$U$171,4,FALSE), "")</f>
        <v/>
      </c>
      <c r="H50" s="575" t="str">
        <f>IFERROR((VLOOKUP(D50,INGREDIENTS!$AA$6:$AB$14,2,FALSE))*((1.65*(0.000125^($M$31-1))*((1-EXP(-0.04*E50))/4.15))*G50*C50*1000)/($M$32),"")</f>
        <v/>
      </c>
      <c r="I50" s="352"/>
      <c r="J50" s="1084" t="s">
        <v>655</v>
      </c>
      <c r="K50" s="1085"/>
      <c r="L50" s="550"/>
      <c r="M50" s="551" t="s">
        <v>737</v>
      </c>
      <c r="N50" s="1088" t="s">
        <v>630</v>
      </c>
      <c r="O50" s="1089"/>
      <c r="P50" s="1090"/>
      <c r="Q50" s="352"/>
      <c r="R50" s="304"/>
      <c r="S50" s="384"/>
    </row>
    <row r="51" spans="1:28" ht="14.45" customHeight="1" thickBot="1">
      <c r="A51" s="886"/>
      <c r="B51" s="402"/>
      <c r="C51" s="139"/>
      <c r="D51" s="137"/>
      <c r="E51" s="138"/>
      <c r="F51" s="470"/>
      <c r="G51" s="574" t="str">
        <f>IFERROR(VLOOKUP(B51,INGREDIENTS!$R$6:$U$171,4,FALSE), "")</f>
        <v/>
      </c>
      <c r="H51" s="575" t="str">
        <f>IFERROR((VLOOKUP(D51,INGREDIENTS!$AA$6:$AB$14,2,FALSE))*((1.65*(0.000125^($M$31-1))*((1-EXP(-0.04*E51))/4.15))*G51*C51*1000)/($M$32),"")</f>
        <v/>
      </c>
      <c r="I51" s="352"/>
      <c r="J51" s="1086"/>
      <c r="K51" s="1087"/>
      <c r="L51" s="594" t="s">
        <v>603</v>
      </c>
      <c r="M51" s="538">
        <v>20</v>
      </c>
      <c r="N51" s="1144"/>
      <c r="O51" s="1145"/>
      <c r="P51" s="1146"/>
      <c r="Q51" s="352"/>
      <c r="R51" s="303"/>
      <c r="S51" s="384"/>
    </row>
    <row r="52" spans="1:28" ht="14.45" customHeight="1" thickBot="1">
      <c r="A52" s="160"/>
      <c r="B52" s="161" t="s">
        <v>656</v>
      </c>
      <c r="C52" s="164">
        <f>SUM(C36:C42)</f>
        <v>290</v>
      </c>
      <c r="D52" s="162"/>
      <c r="E52" s="163" t="s">
        <v>2081</v>
      </c>
      <c r="F52" s="522" cm="1">
        <f t="array" ref="F52">SUMPRODUCT(((D36:D51="DH")+(D36:D51="DDH")+(D36:D51="BioDH"))*C36:C51)/B4</f>
        <v>10</v>
      </c>
      <c r="G52" s="464"/>
      <c r="H52" s="165">
        <f>SUM(H36:H51)</f>
        <v>26.991420126797145</v>
      </c>
      <c r="I52" s="352"/>
      <c r="J52" s="1086"/>
      <c r="K52" s="1087"/>
      <c r="L52" s="595" t="s">
        <v>606</v>
      </c>
      <c r="M52" s="548">
        <f>1+(H26-1)*(1-G55)</f>
        <v>1.016091171403962</v>
      </c>
      <c r="N52" s="975">
        <v>1.016</v>
      </c>
      <c r="O52" s="1093"/>
      <c r="P52" s="1094"/>
      <c r="Q52" s="352"/>
    </row>
    <row r="53" spans="1:28" ht="14.45" customHeight="1" thickBot="1">
      <c r="A53" s="352"/>
      <c r="B53" s="352"/>
      <c r="C53" s="352"/>
      <c r="D53" s="352"/>
      <c r="E53" s="352"/>
      <c r="F53" s="352"/>
      <c r="G53" s="352"/>
      <c r="H53" s="352"/>
      <c r="I53" s="352"/>
      <c r="J53" s="1086"/>
      <c r="K53" s="1087"/>
      <c r="L53" s="596" t="s">
        <v>653</v>
      </c>
      <c r="M53" s="573">
        <f>G55</f>
        <v>0.75</v>
      </c>
      <c r="N53" s="1095">
        <f>(N31-M52)/(N31-1)</f>
        <v>0.74046497735545203</v>
      </c>
      <c r="O53" s="1096"/>
      <c r="P53" s="1097"/>
      <c r="Q53" s="352"/>
      <c r="AB53" s="405"/>
    </row>
    <row r="54" spans="1:28" ht="14.45" customHeight="1" thickBot="1">
      <c r="A54" s="1098" t="s">
        <v>657</v>
      </c>
      <c r="B54" s="454" t="s">
        <v>2073</v>
      </c>
      <c r="C54" s="455" t="s">
        <v>752</v>
      </c>
      <c r="D54" s="454" t="s">
        <v>2075</v>
      </c>
      <c r="E54" s="454" t="s">
        <v>69</v>
      </c>
      <c r="F54" s="454" t="s">
        <v>70</v>
      </c>
      <c r="G54" s="520" t="s">
        <v>658</v>
      </c>
      <c r="H54" s="456"/>
      <c r="I54" s="352"/>
      <c r="J54" s="1086"/>
      <c r="K54" s="1087"/>
      <c r="L54" s="594" t="s">
        <v>659</v>
      </c>
      <c r="M54" s="549">
        <f>(76.08*(M31-M52)/(1.775-M31))*(M52/0.794)</f>
        <v>5.9789991089888899</v>
      </c>
      <c r="N54" s="1100">
        <f>(76.08*(N31-N52)/(1.775-N31))*(N52/0.794)</f>
        <v>6.2807572925977144</v>
      </c>
      <c r="O54" s="1101"/>
      <c r="P54" s="1102"/>
      <c r="Q54" s="352"/>
      <c r="S54" s="383"/>
      <c r="AB54" s="404"/>
    </row>
    <row r="55" spans="1:28" ht="14.45" customHeight="1" thickBot="1">
      <c r="A55" s="1099"/>
      <c r="B55" s="350" t="s">
        <v>1907</v>
      </c>
      <c r="C55" s="293" t="s">
        <v>2010</v>
      </c>
      <c r="D55" s="240">
        <v>27</v>
      </c>
      <c r="E55" s="240">
        <f>IFERROR(VLOOKUP(B55,INGREDIENTS!$AF$6:$AT$401,7,FALSE),"")</f>
        <v>12</v>
      </c>
      <c r="F55" s="240">
        <f>IFERROR(VLOOKUP(B55,INGREDIENTS!$AF$6:$AT$401,8,FALSE),"")</f>
        <v>38</v>
      </c>
      <c r="G55" s="414">
        <f>IFERROR(VLOOKUP(B55,INGREDIENTS!$AF$6:$AT$401,6,FALSE),"")</f>
        <v>0.75</v>
      </c>
      <c r="H55" s="457"/>
      <c r="I55" s="352"/>
      <c r="J55" s="1086"/>
      <c r="K55" s="1087"/>
      <c r="L55" s="1103" t="s">
        <v>2082</v>
      </c>
      <c r="M55" s="1104"/>
      <c r="N55" s="1105">
        <v>2.5</v>
      </c>
      <c r="O55" s="1105"/>
      <c r="P55" s="1106"/>
      <c r="Q55" s="352"/>
      <c r="AB55" s="405"/>
    </row>
    <row r="56" spans="1:28" ht="14.45" customHeight="1">
      <c r="A56" s="585"/>
      <c r="B56" s="3"/>
      <c r="C56" s="293"/>
      <c r="D56" s="240"/>
      <c r="E56" s="240" t="str">
        <f>IFERROR(VLOOKUP(B56,INGREDIENTS!$AF$6:$AT$401,7,FALSE),"")</f>
        <v/>
      </c>
      <c r="F56" s="240" t="str">
        <f>IFERROR(VLOOKUP(B56,INGREDIENTS!$AF$6:$AT$401,8,FALSE),"")</f>
        <v/>
      </c>
      <c r="G56" s="414" t="str">
        <f>IFERROR(VLOOKUP(B56,INGREDIENTS!$AF$6:$AT$401,6,FALSE),"")</f>
        <v/>
      </c>
      <c r="H56" s="457"/>
      <c r="I56" s="352"/>
      <c r="J56" s="1086"/>
      <c r="K56" s="1087"/>
      <c r="L56" s="958" t="s">
        <v>661</v>
      </c>
      <c r="M56" s="1107"/>
      <c r="N56" s="1113" t="s">
        <v>662</v>
      </c>
      <c r="O56" s="1114"/>
      <c r="P56" s="607" t="s">
        <v>721</v>
      </c>
      <c r="Q56" s="352"/>
      <c r="S56" s="383"/>
      <c r="AB56" s="406"/>
    </row>
    <row r="57" spans="1:28" ht="14.45" customHeight="1" thickBot="1">
      <c r="A57" s="585"/>
      <c r="B57" s="3"/>
      <c r="C57" s="293"/>
      <c r="D57" s="240"/>
      <c r="E57" s="240" t="str">
        <f>IFERROR(VLOOKUP(B57,INGREDIENTS!$AF$6:$AT$401,7,FALSE),"")</f>
        <v/>
      </c>
      <c r="F57" s="240" t="str">
        <f>IFERROR(VLOOKUP(B57,INGREDIENTS!$AF$6:$AT$401,8,FALSE),"")</f>
        <v/>
      </c>
      <c r="G57" s="414" t="str">
        <f>IFERROR(VLOOKUP(B57,INGREDIENTS!$AF$6:$AT$401,6,FALSE),"")</f>
        <v/>
      </c>
      <c r="H57" s="457"/>
      <c r="I57" s="352"/>
      <c r="J57" s="1086"/>
      <c r="K57" s="963"/>
      <c r="L57" s="1117">
        <f>N55*3.941-2.804</f>
        <v>7.0484999999999989</v>
      </c>
      <c r="M57" s="1118"/>
      <c r="N57" s="1119">
        <f>L57*M51</f>
        <v>140.96999999999997</v>
      </c>
      <c r="O57" s="1120"/>
      <c r="P57" s="608">
        <v>1</v>
      </c>
      <c r="Q57" s="352"/>
      <c r="AB57" s="405"/>
    </row>
    <row r="58" spans="1:28" ht="14.45" customHeight="1" thickBot="1">
      <c r="A58" s="586"/>
      <c r="B58" s="458"/>
      <c r="C58" s="459"/>
      <c r="D58" s="460"/>
      <c r="E58" s="460" t="str">
        <f>IFERROR(VLOOKUP(B58,INGREDIENTS!$AF$6:$AT$401,7,FALSE),"")</f>
        <v/>
      </c>
      <c r="F58" s="460" t="str">
        <f>IFERROR(VLOOKUP(B58,INGREDIENTS!$AF$6:$AT$401,8,FALSE),"")</f>
        <v/>
      </c>
      <c r="G58" s="461" t="str">
        <f>IFERROR(VLOOKUP(B58,INGREDIENTS!$AF$6:$AT$401,6,FALSE),"")</f>
        <v/>
      </c>
      <c r="H58" s="462"/>
      <c r="I58" s="352"/>
      <c r="J58" s="1086"/>
      <c r="K58" s="963"/>
      <c r="L58" s="1121" t="s">
        <v>722</v>
      </c>
      <c r="M58" s="1122"/>
      <c r="N58" s="1123"/>
      <c r="O58" s="569" t="s">
        <v>2078</v>
      </c>
      <c r="P58" s="577">
        <f>L57*0.75*1000/(N57/P57)</f>
        <v>37.500000000000007</v>
      </c>
      <c r="Q58" s="352"/>
      <c r="S58" s="383"/>
    </row>
    <row r="59" spans="1:28" ht="15" customHeight="1" thickBot="1">
      <c r="A59" s="352"/>
      <c r="B59" s="352"/>
      <c r="C59" s="352"/>
      <c r="D59" s="352"/>
      <c r="E59" s="352"/>
      <c r="F59" s="352"/>
      <c r="G59" s="352"/>
      <c r="H59" s="352"/>
      <c r="I59" s="352"/>
      <c r="J59" s="1115"/>
      <c r="K59" s="1116"/>
      <c r="L59" s="1124"/>
      <c r="M59" s="1125"/>
      <c r="N59" s="1126"/>
      <c r="O59" s="578" t="s">
        <v>2079</v>
      </c>
      <c r="P59" s="579">
        <f>L57*0.33*1000/(N57/P57)</f>
        <v>16.5</v>
      </c>
      <c r="Q59" s="352"/>
    </row>
    <row r="60" spans="1:28" ht="15" customHeight="1" thickBot="1">
      <c r="A60" s="352"/>
      <c r="B60" s="352"/>
      <c r="C60" s="352"/>
      <c r="D60" s="352"/>
      <c r="E60" s="352"/>
      <c r="F60" s="352"/>
      <c r="G60" s="352"/>
      <c r="H60" s="352"/>
      <c r="I60" s="352"/>
      <c r="J60" s="1083" t="s">
        <v>714</v>
      </c>
      <c r="K60" s="1083"/>
      <c r="L60" s="352"/>
      <c r="M60" s="352"/>
      <c r="N60" s="352"/>
      <c r="O60" s="352"/>
      <c r="P60" s="352"/>
      <c r="Q60" s="352"/>
      <c r="S60" s="383"/>
    </row>
    <row r="61" spans="1:28">
      <c r="A61" s="352"/>
      <c r="B61" s="352"/>
      <c r="C61" s="352"/>
      <c r="D61" s="352"/>
      <c r="E61" s="352"/>
      <c r="F61" s="352"/>
      <c r="G61" s="352"/>
      <c r="H61" s="352"/>
      <c r="I61" s="352"/>
      <c r="L61" s="352"/>
    </row>
    <row r="62" spans="1:28">
      <c r="A62" s="352"/>
      <c r="B62" s="352"/>
      <c r="C62" s="352"/>
      <c r="D62" s="352"/>
      <c r="E62" s="352"/>
      <c r="F62" s="352"/>
      <c r="G62" s="352"/>
      <c r="H62" s="352"/>
      <c r="I62" s="352"/>
      <c r="J62" s="352"/>
      <c r="K62" s="352"/>
      <c r="L62" s="352"/>
      <c r="M62" s="352"/>
      <c r="N62" s="352"/>
      <c r="O62" s="352"/>
      <c r="P62" s="352"/>
    </row>
    <row r="63" spans="1:28">
      <c r="A63" s="352"/>
      <c r="B63" s="352"/>
      <c r="C63" s="352"/>
      <c r="D63" s="352"/>
      <c r="E63" s="352"/>
      <c r="F63" s="352"/>
      <c r="G63" s="352"/>
      <c r="H63" s="352"/>
      <c r="I63" s="352"/>
      <c r="J63" s="352"/>
      <c r="K63" s="352"/>
      <c r="L63" s="352"/>
      <c r="M63" s="352"/>
      <c r="N63" s="352"/>
      <c r="O63" s="352"/>
      <c r="P63" s="352"/>
    </row>
    <row r="64" spans="1:28">
      <c r="A64" s="352"/>
      <c r="B64" s="352"/>
      <c r="C64" s="352"/>
      <c r="D64" s="352"/>
      <c r="E64" s="352"/>
      <c r="F64" s="352"/>
      <c r="G64" s="352"/>
      <c r="H64" s="352"/>
      <c r="I64" s="352"/>
      <c r="J64" s="352"/>
      <c r="K64" s="352"/>
      <c r="L64" s="352"/>
      <c r="M64" s="352"/>
      <c r="N64" s="352"/>
      <c r="O64" s="352"/>
      <c r="P64" s="401"/>
    </row>
    <row r="65" spans="1:22">
      <c r="A65" s="352"/>
      <c r="B65" s="352"/>
      <c r="C65" s="352"/>
      <c r="D65" s="352"/>
      <c r="E65" s="352"/>
      <c r="F65" s="352"/>
      <c r="G65" s="352"/>
      <c r="H65" s="352"/>
      <c r="I65" s="352"/>
      <c r="J65" s="352"/>
      <c r="K65" s="352"/>
      <c r="L65" s="352"/>
      <c r="M65" s="352"/>
      <c r="N65" s="352"/>
      <c r="O65" s="352"/>
      <c r="P65" s="401"/>
    </row>
    <row r="66" spans="1:22">
      <c r="P66" s="220"/>
      <c r="Q66" s="221"/>
    </row>
    <row r="67" spans="1:22">
      <c r="B67" s="375"/>
      <c r="C67" s="375"/>
      <c r="D67" s="375"/>
      <c r="E67" s="375"/>
      <c r="F67" s="375"/>
      <c r="G67" s="375"/>
      <c r="H67" s="375"/>
      <c r="P67" s="220"/>
      <c r="Q67" s="221"/>
    </row>
    <row r="68" spans="1:22">
      <c r="B68" s="375"/>
      <c r="C68" s="375"/>
      <c r="D68" s="375"/>
      <c r="E68" s="375"/>
      <c r="F68" s="375"/>
      <c r="G68" s="375"/>
      <c r="H68" s="375"/>
      <c r="P68" s="222"/>
      <c r="Q68" s="223"/>
      <c r="S68" s="225"/>
      <c r="T68" s="226"/>
      <c r="V68" s="18"/>
    </row>
    <row r="69" spans="1:22">
      <c r="B69" s="375"/>
      <c r="C69" s="375"/>
      <c r="D69" s="375"/>
      <c r="E69" s="375"/>
      <c r="F69" s="375"/>
      <c r="G69" s="375"/>
      <c r="H69" s="375"/>
      <c r="P69" s="222"/>
      <c r="Q69" s="223"/>
    </row>
    <row r="70" spans="1:22">
      <c r="B70" s="375"/>
      <c r="C70" s="375"/>
      <c r="D70" s="375"/>
      <c r="E70" s="375"/>
      <c r="F70" s="375"/>
      <c r="G70" s="375"/>
      <c r="H70" s="375"/>
      <c r="P70" s="220"/>
      <c r="Q70" s="224"/>
      <c r="S70" s="225"/>
      <c r="T70" s="226"/>
      <c r="V70" s="18"/>
    </row>
    <row r="71" spans="1:22">
      <c r="B71" s="375"/>
      <c r="C71" s="375"/>
      <c r="D71" s="375"/>
      <c r="E71" s="375"/>
      <c r="F71" s="375"/>
      <c r="G71" s="375"/>
      <c r="H71" s="375"/>
    </row>
    <row r="72" spans="1:22">
      <c r="B72" s="375"/>
      <c r="C72" s="375"/>
      <c r="D72" s="375"/>
      <c r="E72" s="375"/>
      <c r="F72" s="375"/>
      <c r="G72" s="375"/>
      <c r="H72" s="375"/>
      <c r="S72" s="225"/>
      <c r="T72" s="226"/>
      <c r="V72" s="18"/>
    </row>
    <row r="73" spans="1:22">
      <c r="B73" s="375"/>
      <c r="C73" s="375"/>
      <c r="D73" s="375"/>
      <c r="E73" s="375"/>
      <c r="F73" s="375"/>
      <c r="S73" s="225"/>
      <c r="T73" s="226"/>
      <c r="V73" s="18"/>
    </row>
    <row r="74" spans="1:22">
      <c r="B74" s="375"/>
      <c r="C74" s="375"/>
      <c r="D74" s="375"/>
      <c r="E74" s="375"/>
      <c r="F74" s="375"/>
      <c r="S74" s="227"/>
      <c r="V74" s="16"/>
    </row>
    <row r="75" spans="1:22">
      <c r="B75" s="375"/>
      <c r="C75" s="375"/>
      <c r="D75" s="375"/>
      <c r="E75" s="375"/>
      <c r="F75" s="375"/>
      <c r="P75" s="228"/>
      <c r="S75" s="225"/>
      <c r="T75" s="226"/>
      <c r="V75" s="16"/>
    </row>
    <row r="76" spans="1:22">
      <c r="B76" s="375"/>
      <c r="C76" s="375"/>
      <c r="D76" s="375"/>
      <c r="E76" s="375"/>
      <c r="F76" s="375"/>
    </row>
    <row r="77" spans="1:22">
      <c r="B77" s="375"/>
      <c r="C77" s="375"/>
      <c r="D77" s="375"/>
      <c r="E77" s="375"/>
      <c r="F77" s="375"/>
    </row>
    <row r="78" spans="1:22">
      <c r="B78" s="375"/>
      <c r="C78" s="375"/>
      <c r="D78" s="375"/>
      <c r="E78" s="375"/>
      <c r="F78" s="375"/>
    </row>
  </sheetData>
  <mergeCells count="117">
    <mergeCell ref="Z3:Z4"/>
    <mergeCell ref="M25:N25"/>
    <mergeCell ref="O25:P25"/>
    <mergeCell ref="M9:N9"/>
    <mergeCell ref="M4:N4"/>
    <mergeCell ref="R3:R4"/>
    <mergeCell ref="J60:K60"/>
    <mergeCell ref="L57:M57"/>
    <mergeCell ref="N57:O57"/>
    <mergeCell ref="N33:P33"/>
    <mergeCell ref="J30:K33"/>
    <mergeCell ref="N56:O56"/>
    <mergeCell ref="L58:N59"/>
    <mergeCell ref="N50:P50"/>
    <mergeCell ref="L56:M56"/>
    <mergeCell ref="J57:K59"/>
    <mergeCell ref="N55:P55"/>
    <mergeCell ref="L55:M55"/>
    <mergeCell ref="N51:P51"/>
    <mergeCell ref="J35:K48"/>
    <mergeCell ref="N52:P52"/>
    <mergeCell ref="N53:P53"/>
    <mergeCell ref="N54:P54"/>
    <mergeCell ref="W30:AA30"/>
    <mergeCell ref="A1:H1"/>
    <mergeCell ref="J1:P1"/>
    <mergeCell ref="J2:P2"/>
    <mergeCell ref="L3:N3"/>
    <mergeCell ref="N20:P20"/>
    <mergeCell ref="N21:P21"/>
    <mergeCell ref="N22:P22"/>
    <mergeCell ref="C3:H3"/>
    <mergeCell ref="B2:H2"/>
    <mergeCell ref="L5:L9"/>
    <mergeCell ref="J10:K10"/>
    <mergeCell ref="L10:P10"/>
    <mergeCell ref="J11:K12"/>
    <mergeCell ref="L11:L12"/>
    <mergeCell ref="M11:N11"/>
    <mergeCell ref="O11:O12"/>
    <mergeCell ref="P11:P12"/>
    <mergeCell ref="M12:N12"/>
    <mergeCell ref="D6:E6"/>
    <mergeCell ref="D7:E7"/>
    <mergeCell ref="M5:N5"/>
    <mergeCell ref="M6:N6"/>
    <mergeCell ref="M8:N8"/>
    <mergeCell ref="M7:N7"/>
    <mergeCell ref="A28:A31"/>
    <mergeCell ref="J20:K24"/>
    <mergeCell ref="J50:K56"/>
    <mergeCell ref="J3:K7"/>
    <mergeCell ref="J25:K28"/>
    <mergeCell ref="A9:A17"/>
    <mergeCell ref="A18:A20"/>
    <mergeCell ref="A35:A51"/>
    <mergeCell ref="A24:A26"/>
    <mergeCell ref="E24:F24"/>
    <mergeCell ref="A21:A23"/>
    <mergeCell ref="C28:G28"/>
    <mergeCell ref="A54:A55"/>
    <mergeCell ref="G4:H4"/>
    <mergeCell ref="G5:H5"/>
    <mergeCell ref="G6:H6"/>
    <mergeCell ref="G7:H7"/>
    <mergeCell ref="J19:K19"/>
    <mergeCell ref="J13:K13"/>
    <mergeCell ref="J14:K18"/>
    <mergeCell ref="D4:E4"/>
    <mergeCell ref="D5:E5"/>
    <mergeCell ref="R7:R13"/>
    <mergeCell ref="R16:T16"/>
    <mergeCell ref="R30:U30"/>
    <mergeCell ref="R32:S32"/>
    <mergeCell ref="R33:S33"/>
    <mergeCell ref="R34:S34"/>
    <mergeCell ref="R35:S35"/>
    <mergeCell ref="R38:S39"/>
    <mergeCell ref="T7:V7"/>
    <mergeCell ref="R37:S37"/>
    <mergeCell ref="R21:S21"/>
    <mergeCell ref="R20:U20"/>
    <mergeCell ref="T26:T27"/>
    <mergeCell ref="U26:U27"/>
    <mergeCell ref="R22:S22"/>
    <mergeCell ref="R36:S36"/>
    <mergeCell ref="R26:S27"/>
    <mergeCell ref="R28:S28"/>
    <mergeCell ref="R23:S23"/>
    <mergeCell ref="R24:S24"/>
    <mergeCell ref="R25:S25"/>
    <mergeCell ref="R41:T41"/>
    <mergeCell ref="R44:S44"/>
    <mergeCell ref="R45:S45"/>
    <mergeCell ref="R46:S46"/>
    <mergeCell ref="R47:S47"/>
    <mergeCell ref="R48:S48"/>
    <mergeCell ref="R49:S49"/>
    <mergeCell ref="R42:S42"/>
    <mergeCell ref="R43:S43"/>
    <mergeCell ref="M28:N28"/>
    <mergeCell ref="N32:P32"/>
    <mergeCell ref="O28:P28"/>
    <mergeCell ref="N30:P30"/>
    <mergeCell ref="N31:P31"/>
    <mergeCell ref="N23:P23"/>
    <mergeCell ref="L34:Q34"/>
    <mergeCell ref="L17:L18"/>
    <mergeCell ref="N14:P14"/>
    <mergeCell ref="N15:P15"/>
    <mergeCell ref="N16:P16"/>
    <mergeCell ref="N17:P18"/>
    <mergeCell ref="M26:N26"/>
    <mergeCell ref="O26:P26"/>
    <mergeCell ref="M27:N27"/>
    <mergeCell ref="O27:P27"/>
    <mergeCell ref="M17:M18"/>
  </mergeCells>
  <phoneticPr fontId="30" type="noConversion"/>
  <conditionalFormatting sqref="G6">
    <cfRule type="colorScale" priority="3">
      <colorScale>
        <cfvo type="num" val="0"/>
        <cfvo type="num" val="0.55000000000000004"/>
        <cfvo type="num" val="1"/>
        <color theme="7"/>
        <color rgb="FFFCFCFF"/>
        <color rgb="FF63BE7B"/>
      </colorScale>
    </cfRule>
  </conditionalFormatting>
  <conditionalFormatting sqref="G7">
    <cfRule type="colorScale" priority="2">
      <colorScale>
        <cfvo type="num" val="0"/>
        <cfvo type="num" val="6"/>
        <cfvo type="num" val="11"/>
        <color theme="7"/>
        <color rgb="FFFCFCFF"/>
        <color rgb="FF63BE7B"/>
      </colorScale>
    </cfRule>
  </conditionalFormatting>
  <conditionalFormatting sqref="G4:H4">
    <cfRule type="iconSet" priority="1">
      <iconSet iconSet="5Rating">
        <cfvo type="percent" val="0"/>
        <cfvo type="num" val="3"/>
        <cfvo type="num" val="5"/>
        <cfvo type="num" val="7"/>
        <cfvo type="num" val="9"/>
      </iconSet>
    </cfRule>
  </conditionalFormatting>
  <dataValidations count="1">
    <dataValidation type="list" allowBlank="1" showInputMessage="1" showErrorMessage="1" sqref="T45" xr:uid="{72CA5CDA-FB9B-4574-97AC-A00A3D6860B2}">
      <formula1>"Sucre,DMS,LMS,Eau"</formula1>
    </dataValidation>
  </dataValidations>
  <hyperlinks>
    <hyperlink ref="R17" r:id="rId1" xr:uid="{51A8192D-009E-4820-BD92-C0F35E22FFEC}"/>
    <hyperlink ref="R18" r:id="rId2" xr:uid="{D00521B6-8217-46C4-B289-C89624C30845}"/>
  </hyperlinks>
  <pageMargins left="0.7" right="0.7" top="0.75" bottom="0.75" header="0.3" footer="0.3"/>
  <pageSetup paperSize="9" orientation="portrait" r:id="rId3"/>
  <ignoredErrors>
    <ignoredError sqref="G5" unlockedFormula="1"/>
  </ignoredErrors>
  <drawing r:id="rId4"/>
  <legacyDrawing r:id="rId5"/>
  <extLst>
    <ext xmlns:x14="http://schemas.microsoft.com/office/spreadsheetml/2009/9/main" uri="{CCE6A557-97BC-4b89-ADB6-D9C93CAAB3DF}">
      <x14:dataValidations xmlns:xm="http://schemas.microsoft.com/office/excel/2006/main" count="8">
        <x14:dataValidation type="list" allowBlank="1" showInputMessage="1" showErrorMessage="1" xr:uid="{5B20ACAA-12A2-4120-9B35-949522CA8D99}">
          <x14:formula1>
            <xm:f>INGREDIENTS!$R$6:$R$171</xm:f>
          </x14:formula1>
          <xm:sqref>B36:B51</xm:sqref>
        </x14:dataValidation>
        <x14:dataValidation type="list" allowBlank="1" showInputMessage="1" showErrorMessage="1" xr:uid="{6BC449A3-1285-433A-8842-D37EEC8C9BEF}">
          <x14:formula1>
            <xm:f>INGREDIENTS!$AF$6:$AF$401</xm:f>
          </x14:formula1>
          <xm:sqref>B55:B58</xm:sqref>
        </x14:dataValidation>
        <x14:dataValidation type="list" allowBlank="1" showInputMessage="1" showErrorMessage="1" xr:uid="{4763ECDC-85FA-4781-8F57-A934D8C71301}">
          <x14:formula1>
            <xm:f>INGREDIENTS!$AA$6:$AA$14</xm:f>
          </x14:formula1>
          <xm:sqref>D36:D51</xm:sqref>
        </x14:dataValidation>
        <x14:dataValidation type="list" allowBlank="1" showInputMessage="1" showErrorMessage="1" xr:uid="{ACC77FB8-255A-4110-BB89-DD229EDE0968}">
          <x14:formula1>
            <xm:f>INGREDIENTS!$CK$5:$CK$26</xm:f>
          </x14:formula1>
          <xm:sqref>L36:L48</xm:sqref>
        </x14:dataValidation>
        <x14:dataValidation type="list" allowBlank="1" showInputMessage="1" showErrorMessage="1" xr:uid="{A392E71E-B64A-4EF2-B103-8EB6E619C9C6}">
          <x14:formula1>
            <xm:f>INGREDIENTS!$I$7:$I$29</xm:f>
          </x14:formula1>
          <xm:sqref>B21:B23</xm:sqref>
        </x14:dataValidation>
        <x14:dataValidation type="list" allowBlank="1" showInputMessage="1" showErrorMessage="1" xr:uid="{B5A89E47-4AD7-4FBD-A089-F20CB2F6127A}">
          <x14:formula1>
            <xm:f>STYLES!$B$7:$B$130</xm:f>
          </x14:formula1>
          <xm:sqref>T7:V7</xm:sqref>
        </x14:dataValidation>
        <x14:dataValidation type="list" allowBlank="1" showInputMessage="1" showErrorMessage="1" xr:uid="{5CFEE4AD-97CA-4EBA-A736-788E21C279ED}">
          <x14:formula1>
            <xm:f>INGREDIENTS!$AV$6:$AV$27</xm:f>
          </x14:formula1>
          <xm:sqref>B29:B33</xm:sqref>
        </x14:dataValidation>
        <x14:dataValidation type="list" allowBlank="1" showInputMessage="1" showErrorMessage="1" xr:uid="{3EB6DA9A-3B8E-4E74-B0FC-B3F7B2CB3334}">
          <x14:formula1>
            <xm:f>INGREDIENTS!$A$6:$A$109</xm:f>
          </x14:formula1>
          <xm:sqref>B10:B20</xm:sqref>
        </x14:dataValidation>
      </x14:dataValidations>
    </ext>
  </extLs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31BA59-0D87-48FE-A66B-092802EB11F7}">
  <dimension ref="A1:AC87"/>
  <sheetViews>
    <sheetView zoomScale="90" zoomScaleNormal="90" workbookViewId="0">
      <selection activeCell="AA6" sqref="AA6"/>
    </sheetView>
  </sheetViews>
  <sheetFormatPr baseColWidth="10" defaultColWidth="8.7109375" defaultRowHeight="15"/>
  <cols>
    <col min="1" max="1" width="10.5703125" bestFit="1" customWidth="1"/>
    <col min="2" max="2" width="18" bestFit="1" customWidth="1"/>
    <col min="3" max="3" width="10.5703125" bestFit="1" customWidth="1"/>
    <col min="4" max="4" width="8.85546875" bestFit="1" customWidth="1"/>
    <col min="5" max="5" width="9" customWidth="1"/>
    <col min="8" max="8" width="10.5703125" customWidth="1"/>
    <col min="9" max="9" width="2.85546875" customWidth="1"/>
    <col min="10" max="10" width="11.42578125" customWidth="1"/>
    <col min="12" max="12" width="16.42578125" customWidth="1"/>
    <col min="13" max="13" width="9.5703125" customWidth="1"/>
    <col min="15" max="15" width="10.140625" bestFit="1" customWidth="1"/>
    <col min="16" max="16" width="9.28515625" customWidth="1"/>
    <col min="18" max="18" width="10.42578125" customWidth="1"/>
    <col min="19" max="19" width="10.42578125" bestFit="1" customWidth="1"/>
    <col min="20" max="20" width="14" bestFit="1" customWidth="1"/>
    <col min="21" max="21" width="11.5703125" bestFit="1" customWidth="1"/>
    <col min="22" max="22" width="13.42578125" customWidth="1"/>
    <col min="23" max="23" width="11.42578125" bestFit="1" customWidth="1"/>
    <col min="24" max="24" width="9.5703125" customWidth="1"/>
    <col min="25" max="25" width="11.85546875" bestFit="1" customWidth="1"/>
    <col min="26" max="26" width="11.5703125" customWidth="1"/>
    <col min="27" max="27" width="10.28515625" customWidth="1"/>
  </cols>
  <sheetData>
    <row r="1" spans="1:29" ht="30.75" thickBot="1">
      <c r="A1" s="758" t="s">
        <v>2322</v>
      </c>
      <c r="B1" s="759"/>
      <c r="C1" s="759"/>
      <c r="D1" s="759"/>
      <c r="E1" s="759"/>
      <c r="F1" s="759"/>
      <c r="G1" s="759"/>
      <c r="H1" s="760"/>
      <c r="I1" s="353"/>
      <c r="J1" s="761" t="s">
        <v>665</v>
      </c>
      <c r="K1" s="762"/>
      <c r="L1" s="762"/>
      <c r="M1" s="762"/>
      <c r="N1" s="762"/>
      <c r="O1" s="762"/>
      <c r="P1" s="763"/>
      <c r="Q1" s="352"/>
    </row>
    <row r="2" spans="1:29" ht="66.95" customHeight="1" thickBot="1">
      <c r="A2" s="584"/>
      <c r="B2" s="992"/>
      <c r="C2" s="992"/>
      <c r="D2" s="992"/>
      <c r="E2" s="992"/>
      <c r="F2" s="992"/>
      <c r="G2" s="992"/>
      <c r="H2" s="992"/>
      <c r="I2" s="354"/>
      <c r="J2" s="993"/>
      <c r="K2" s="993"/>
      <c r="L2" s="993"/>
      <c r="M2" s="993"/>
      <c r="N2" s="993"/>
      <c r="O2" s="993"/>
      <c r="P2" s="993"/>
      <c r="Q2" s="352"/>
    </row>
    <row r="3" spans="1:29" ht="14.45" customHeight="1">
      <c r="A3" s="142" t="s">
        <v>601</v>
      </c>
      <c r="B3" s="582" t="s">
        <v>2250</v>
      </c>
      <c r="C3" s="770" t="s">
        <v>602</v>
      </c>
      <c r="D3" s="770"/>
      <c r="E3" s="770"/>
      <c r="F3" s="770"/>
      <c r="G3" s="770"/>
      <c r="H3" s="771"/>
      <c r="I3" s="355"/>
      <c r="J3" s="772" t="s">
        <v>615</v>
      </c>
      <c r="K3" s="773"/>
      <c r="L3" s="778" t="s">
        <v>616</v>
      </c>
      <c r="M3" s="779"/>
      <c r="N3" s="780"/>
      <c r="O3" s="518">
        <v>16</v>
      </c>
      <c r="P3" s="519">
        <v>69.400000000000006</v>
      </c>
      <c r="Q3" s="352"/>
      <c r="R3" s="996" t="s">
        <v>624</v>
      </c>
      <c r="S3" s="615" t="s">
        <v>2087</v>
      </c>
      <c r="T3" s="615" t="s">
        <v>2089</v>
      </c>
      <c r="U3" s="615" t="s">
        <v>2088</v>
      </c>
      <c r="V3" s="615" t="s">
        <v>2092</v>
      </c>
      <c r="W3" s="615" t="s">
        <v>2091</v>
      </c>
      <c r="X3" s="615" t="s">
        <v>2090</v>
      </c>
      <c r="Y3" s="615" t="s">
        <v>23</v>
      </c>
      <c r="Z3" s="998" t="s">
        <v>625</v>
      </c>
      <c r="AA3" s="392"/>
      <c r="AB3" s="392"/>
    </row>
    <row r="4" spans="1:29" ht="14.45" customHeight="1">
      <c r="A4" s="143" t="s">
        <v>603</v>
      </c>
      <c r="B4" s="580">
        <v>20</v>
      </c>
      <c r="C4" s="37" t="s">
        <v>604</v>
      </c>
      <c r="D4" s="1000">
        <f>M35</f>
        <v>1.0740000000000001</v>
      </c>
      <c r="E4" s="1001"/>
      <c r="F4" s="37" t="s">
        <v>612</v>
      </c>
      <c r="G4" s="1002">
        <f>(76.08*(D4-D5)/(1.775-D4))*(D5/0.794)</f>
        <v>7.5359435792742362</v>
      </c>
      <c r="H4" s="1003"/>
      <c r="I4" s="356"/>
      <c r="J4" s="774"/>
      <c r="K4" s="775"/>
      <c r="L4" s="121" t="s">
        <v>911</v>
      </c>
      <c r="M4" s="312">
        <v>5.4</v>
      </c>
      <c r="N4" s="313"/>
      <c r="O4" s="313" t="s">
        <v>646</v>
      </c>
      <c r="P4" s="27" t="s">
        <v>647</v>
      </c>
      <c r="Q4" s="352"/>
      <c r="R4" s="997"/>
      <c r="S4" s="307" t="s">
        <v>872</v>
      </c>
      <c r="T4" s="307" t="s">
        <v>874</v>
      </c>
      <c r="U4" s="307" t="s">
        <v>876</v>
      </c>
      <c r="V4" s="307" t="s">
        <v>878</v>
      </c>
      <c r="W4" s="307" t="s">
        <v>880</v>
      </c>
      <c r="X4" s="307" t="s">
        <v>882</v>
      </c>
      <c r="Y4" s="47"/>
      <c r="Z4" s="999"/>
      <c r="AA4" s="392"/>
      <c r="AB4" s="392"/>
    </row>
    <row r="5" spans="1:29" ht="14.45" customHeight="1">
      <c r="A5" s="143" t="s">
        <v>605</v>
      </c>
      <c r="B5" s="581">
        <v>45989</v>
      </c>
      <c r="C5" s="37" t="s">
        <v>606</v>
      </c>
      <c r="D5" s="1000">
        <f>M58</f>
        <v>1.0199459161014213</v>
      </c>
      <c r="E5" s="1005"/>
      <c r="F5" s="37" t="s">
        <v>614</v>
      </c>
      <c r="G5" s="1006">
        <f>N61</f>
        <v>2.5</v>
      </c>
      <c r="H5" s="1007"/>
      <c r="I5" s="357"/>
      <c r="J5" s="774"/>
      <c r="K5" s="775"/>
      <c r="L5" s="751" t="s">
        <v>622</v>
      </c>
      <c r="M5" s="1138" t="s">
        <v>2334</v>
      </c>
      <c r="N5" s="1139"/>
      <c r="O5" s="36">
        <v>53</v>
      </c>
      <c r="P5" s="27">
        <v>15</v>
      </c>
      <c r="Q5" s="352"/>
      <c r="R5" s="616" t="s">
        <v>2085</v>
      </c>
      <c r="S5" s="609">
        <v>48.4</v>
      </c>
      <c r="T5" s="609">
        <v>85.9</v>
      </c>
      <c r="U5" s="609">
        <v>116</v>
      </c>
      <c r="V5" s="609">
        <v>10.3</v>
      </c>
      <c r="W5" s="609">
        <v>23.8</v>
      </c>
      <c r="X5" s="609">
        <v>305</v>
      </c>
      <c r="Y5" s="610">
        <v>7.2</v>
      </c>
      <c r="Z5" s="617">
        <f>T5/S5</f>
        <v>1.7747933884297522</v>
      </c>
      <c r="AA5" s="392"/>
      <c r="AB5" s="392"/>
    </row>
    <row r="6" spans="1:29" ht="14.45" customHeight="1" thickBot="1">
      <c r="A6" s="143"/>
      <c r="B6" s="593"/>
      <c r="C6" s="37" t="s">
        <v>608</v>
      </c>
      <c r="D6" s="1008">
        <f>E26</f>
        <v>13.23553050341123</v>
      </c>
      <c r="E6" s="1009"/>
      <c r="F6" s="37" t="s">
        <v>618</v>
      </c>
      <c r="G6" s="1002">
        <f>D7/((D4-1)*1000)</f>
        <v>0.28528423858845381</v>
      </c>
      <c r="H6" s="1003"/>
      <c r="I6" s="356"/>
      <c r="J6" s="774"/>
      <c r="K6" s="775"/>
      <c r="L6" s="752"/>
      <c r="M6" s="1138" t="s">
        <v>2335</v>
      </c>
      <c r="N6" s="1139"/>
      <c r="O6" s="36">
        <v>63</v>
      </c>
      <c r="P6" s="27">
        <v>60</v>
      </c>
      <c r="Q6" s="352"/>
      <c r="R6" s="653" t="s">
        <v>2086</v>
      </c>
      <c r="S6" s="654"/>
      <c r="T6" s="654"/>
      <c r="U6" s="654"/>
      <c r="V6" s="654"/>
      <c r="W6" s="654"/>
      <c r="X6" s="654"/>
      <c r="Y6" s="655"/>
      <c r="Z6" s="656"/>
      <c r="AA6" s="392"/>
      <c r="AB6" s="392"/>
    </row>
    <row r="7" spans="1:29" ht="15.75" customHeight="1" thickBot="1">
      <c r="A7" s="597"/>
      <c r="B7" s="598"/>
      <c r="C7" s="145" t="s">
        <v>610</v>
      </c>
      <c r="D7" s="1010">
        <f>H54</f>
        <v>21.111033655545601</v>
      </c>
      <c r="E7" s="1011"/>
      <c r="F7" s="146" t="s">
        <v>621</v>
      </c>
      <c r="G7" s="994">
        <f>D7/(0.1808*(259-(259/D4))+(0.8192*(259-(259/D5))))</f>
        <v>2.8622506898654714</v>
      </c>
      <c r="H7" s="995"/>
      <c r="I7" s="358"/>
      <c r="J7" s="774"/>
      <c r="K7" s="775"/>
      <c r="L7" s="752"/>
      <c r="M7" s="1138" t="s">
        <v>2336</v>
      </c>
      <c r="N7" s="1139"/>
      <c r="O7" s="36">
        <v>68</v>
      </c>
      <c r="P7" s="27">
        <v>10</v>
      </c>
      <c r="Q7" s="352"/>
      <c r="R7" s="1019" t="s">
        <v>2084</v>
      </c>
      <c r="S7" s="657" t="s">
        <v>2085</v>
      </c>
      <c r="T7" s="1022" t="s">
        <v>2250</v>
      </c>
      <c r="U7" s="1023"/>
      <c r="V7" s="1023"/>
      <c r="W7" s="658" t="str">
        <f>VLOOKUP(T7,Tableau4[],2,FALSE)</f>
        <v>STRONG ALE</v>
      </c>
      <c r="X7" s="659" t="str">
        <f>VLOOKUP(T7,Tableau4[],3,FALSE)</f>
        <v>26C</v>
      </c>
      <c r="Y7" s="660"/>
      <c r="Z7" s="661"/>
      <c r="AB7" s="392"/>
    </row>
    <row r="8" spans="1:29" ht="15.75" customHeight="1" thickBot="1">
      <c r="A8" s="355"/>
      <c r="B8" s="367"/>
      <c r="D8" s="352"/>
      <c r="E8" s="352"/>
      <c r="F8" s="359"/>
      <c r="G8" s="359"/>
      <c r="H8" s="472"/>
      <c r="I8" s="359"/>
      <c r="J8" s="589"/>
      <c r="K8" s="590"/>
      <c r="L8" s="752"/>
      <c r="M8" s="1138" t="s">
        <v>2337</v>
      </c>
      <c r="N8" s="1139"/>
      <c r="O8" s="36">
        <v>78</v>
      </c>
      <c r="P8" s="27">
        <v>10</v>
      </c>
      <c r="Q8" s="352"/>
      <c r="R8" s="1020"/>
      <c r="S8" s="662" t="s">
        <v>2087</v>
      </c>
      <c r="T8" s="662" t="s">
        <v>2089</v>
      </c>
      <c r="U8" s="662" t="s">
        <v>2088</v>
      </c>
      <c r="V8" s="662" t="s">
        <v>2092</v>
      </c>
      <c r="W8" s="662" t="s">
        <v>2091</v>
      </c>
      <c r="X8" s="662" t="s">
        <v>2090</v>
      </c>
      <c r="Y8" s="662"/>
      <c r="Z8" s="663" t="s">
        <v>625</v>
      </c>
      <c r="AB8" s="392"/>
    </row>
    <row r="9" spans="1:29" ht="17.45" customHeight="1" thickBot="1">
      <c r="A9" s="1024" t="s">
        <v>634</v>
      </c>
      <c r="B9" s="148" t="s">
        <v>2073</v>
      </c>
      <c r="C9" s="148" t="s">
        <v>633</v>
      </c>
      <c r="D9" s="463" t="s">
        <v>666</v>
      </c>
      <c r="E9" s="523" t="s">
        <v>2</v>
      </c>
      <c r="F9" s="524" t="s">
        <v>2076</v>
      </c>
      <c r="G9" s="524" t="s">
        <v>23</v>
      </c>
      <c r="H9" s="525" t="s">
        <v>2014</v>
      </c>
      <c r="I9" s="355"/>
      <c r="J9" s="591"/>
      <c r="K9" s="592"/>
      <c r="L9" s="753"/>
      <c r="M9" s="1140" t="s">
        <v>620</v>
      </c>
      <c r="N9" s="1141"/>
      <c r="O9" s="176"/>
      <c r="P9" s="177">
        <f>SUM(P5:P7)</f>
        <v>85</v>
      </c>
      <c r="Q9" s="352"/>
      <c r="R9" s="1020"/>
      <c r="S9" s="613">
        <f>VLOOKUP($T$7,Tableau4[],16,FALSE)</f>
        <v>40</v>
      </c>
      <c r="T9" s="613">
        <f>VLOOKUP($T$7,Tableau4[],18,FALSE)</f>
        <v>0</v>
      </c>
      <c r="U9" s="613">
        <f>VLOOKUP($T$7,Tableau4[],20,FALSE)</f>
        <v>60</v>
      </c>
      <c r="V9" s="613">
        <f>VLOOKUP($T$7,Tableau4[],22,FALSE)</f>
        <v>5</v>
      </c>
      <c r="W9" s="613">
        <f>VLOOKUP($T$7,Tableau4[],24,FALSE)</f>
        <v>10</v>
      </c>
      <c r="X9" s="613">
        <f>VLOOKUP($T$7,Tableau4[],26,FALSE)</f>
        <v>0</v>
      </c>
      <c r="Y9" s="614" t="s">
        <v>887</v>
      </c>
      <c r="Z9" s="664">
        <f>VLOOKUP($T$7,Tableau4[],14,FALSE)</f>
        <v>0.7</v>
      </c>
      <c r="AB9" s="392"/>
    </row>
    <row r="10" spans="1:29" ht="15.75" customHeight="1" thickBot="1">
      <c r="A10" s="1025"/>
      <c r="B10" s="237" t="s">
        <v>49</v>
      </c>
      <c r="C10" s="450">
        <v>5800</v>
      </c>
      <c r="D10" s="465">
        <f t="shared" ref="D10:D23" si="0">C10/$C$26</f>
        <v>0.8388776395718831</v>
      </c>
      <c r="E10" s="526">
        <f>IFERROR(VLOOKUP(B10,INGREDIENTS!$A$6:$E$109,3,FALSE),"")</f>
        <v>8</v>
      </c>
      <c r="F10" s="527">
        <f>IFERROR(VLOOKUP(B10,INGREDIENTS!$A$6:$E$109,2,FALSE),"")</f>
        <v>0.81</v>
      </c>
      <c r="G10" s="528">
        <f>IFERROR(VLOOKUP(B10,INGREDIENTS!$A$6:$E$121,5,FALSE),"")</f>
        <v>5.7</v>
      </c>
      <c r="H10" s="529">
        <f>IFERROR(VLOOKUP(B10,INGREDIENTS!$A$6:$F$121,6,FALSE),"")</f>
        <v>300</v>
      </c>
      <c r="I10" s="360"/>
      <c r="J10" s="725" t="s">
        <v>714</v>
      </c>
      <c r="K10" s="725"/>
      <c r="L10" s="418" t="s">
        <v>2353</v>
      </c>
      <c r="M10" s="418"/>
      <c r="N10" s="418"/>
      <c r="O10" s="418"/>
      <c r="P10" s="418"/>
      <c r="Q10" s="352"/>
      <c r="R10" s="1020"/>
      <c r="S10" s="618">
        <f>VLOOKUP($T$7,Tableau4[],17,FALSE)</f>
        <v>80</v>
      </c>
      <c r="T10" s="618">
        <f>VLOOKUP($T$7,Tableau4[],19,FALSE)</f>
        <v>50</v>
      </c>
      <c r="U10" s="618">
        <f>VLOOKUP($T$7,Tableau4[],21,FALSE)</f>
        <v>150</v>
      </c>
      <c r="V10" s="618">
        <f>VLOOKUP($T$7,Tableau4[],23,FALSE)</f>
        <v>25</v>
      </c>
      <c r="W10" s="618">
        <f>VLOOKUP($T$7,Tableau4[],25,FALSE)</f>
        <v>40</v>
      </c>
      <c r="X10" s="618">
        <f>VLOOKUP($T$7,Tableau4[],27,FALSE)</f>
        <v>50</v>
      </c>
      <c r="Y10" s="619" t="s">
        <v>888</v>
      </c>
      <c r="Z10" s="665">
        <f>VLOOKUP($T$7,Tableau4[],15,FALSE)</f>
        <v>1.2</v>
      </c>
      <c r="AB10" s="392"/>
    </row>
    <row r="11" spans="1:29" ht="15.75" thickBot="1">
      <c r="A11" s="1025"/>
      <c r="B11" s="237" t="s">
        <v>55</v>
      </c>
      <c r="C11" s="450">
        <v>217</v>
      </c>
      <c r="D11" s="465">
        <f t="shared" si="0"/>
        <v>3.138559444605149E-2</v>
      </c>
      <c r="E11" s="526">
        <f>IFERROR(VLOOKUP(B11,INGREDIENTS!$A$6:$E$109,3,FALSE),"")</f>
        <v>6</v>
      </c>
      <c r="F11" s="527">
        <f>IFERROR(VLOOKUP(B11,INGREDIENTS!$A$6:$E$109,2,FALSE),"")</f>
        <v>0.75</v>
      </c>
      <c r="G11" s="528">
        <f>IFERROR(VLOOKUP(B11,INGREDIENTS!$A$6:$E$121,5,FALSE),"")</f>
        <v>5.56</v>
      </c>
      <c r="H11" s="529">
        <f>IFERROR(VLOOKUP(B11,INGREDIENTS!$A$6:$F$121,6,FALSE),"")</f>
        <v>295</v>
      </c>
      <c r="I11" s="360"/>
      <c r="J11" s="352"/>
      <c r="K11" s="352"/>
      <c r="L11" s="352"/>
      <c r="M11" s="352"/>
      <c r="N11" s="352"/>
      <c r="O11" s="352"/>
      <c r="P11" s="352"/>
      <c r="Q11" s="352"/>
      <c r="R11" s="1020"/>
      <c r="S11" s="662" t="s">
        <v>612</v>
      </c>
      <c r="T11" s="662" t="s">
        <v>604</v>
      </c>
      <c r="U11" s="662" t="s">
        <v>606</v>
      </c>
      <c r="V11" s="662" t="s">
        <v>693</v>
      </c>
      <c r="W11" s="662" t="s">
        <v>2</v>
      </c>
      <c r="X11" s="666" t="s">
        <v>2134</v>
      </c>
      <c r="Y11" s="610"/>
      <c r="Z11" s="663"/>
      <c r="AB11" s="392"/>
    </row>
    <row r="12" spans="1:29" ht="15.75" customHeight="1">
      <c r="A12" s="1025"/>
      <c r="B12" s="237" t="s">
        <v>37</v>
      </c>
      <c r="C12" s="450">
        <v>217</v>
      </c>
      <c r="D12" s="465">
        <f t="shared" si="0"/>
        <v>3.138559444605149E-2</v>
      </c>
      <c r="E12" s="526" t="str">
        <f>IFERROR(VLOOKUP(B12,INGREDIENTS!$A$6:$E$109,3,FALSE),"")</f>
        <v/>
      </c>
      <c r="F12" s="527" t="str">
        <f>IFERROR(VLOOKUP(B12,INGREDIENTS!$A$6:$E$109,2,FALSE),"")</f>
        <v/>
      </c>
      <c r="G12" s="528" t="str">
        <f>IFERROR(VLOOKUP(B12,INGREDIENTS!$A$6:$E$121,5,FALSE),"")</f>
        <v/>
      </c>
      <c r="H12" s="529" t="str">
        <f>IFERROR(VLOOKUP(B12,INGREDIENTS!$A$6:$F$121,6,FALSE),"")</f>
        <v/>
      </c>
      <c r="I12" s="360"/>
      <c r="J12" s="786" t="s">
        <v>626</v>
      </c>
      <c r="K12" s="787"/>
      <c r="L12" s="790" t="s">
        <v>627</v>
      </c>
      <c r="M12" s="792">
        <v>20</v>
      </c>
      <c r="N12" s="793"/>
      <c r="O12" s="794" t="s">
        <v>23</v>
      </c>
      <c r="P12" s="1026">
        <v>7.2</v>
      </c>
      <c r="Q12" s="352"/>
      <c r="R12" s="1020"/>
      <c r="S12" s="613">
        <f>VLOOKUP($T$7,Tableau4[],8,FALSE)</f>
        <v>7.5</v>
      </c>
      <c r="T12" s="613">
        <f>VLOOKUP($T$7,Tableau4[],4,FALSE)</f>
        <v>1.075</v>
      </c>
      <c r="U12" s="613">
        <f>VLOOKUP($T$7,Tableau4[],6,FALSE)</f>
        <v>1.008</v>
      </c>
      <c r="V12" s="613">
        <f>VLOOKUP($T$7,Tableau4[],10,FALSE)</f>
        <v>20</v>
      </c>
      <c r="W12" s="613">
        <f>VLOOKUP($T$7,Tableau4[],12,FALSE)</f>
        <v>8.9</v>
      </c>
      <c r="X12" s="613">
        <f>VLOOKUP($T$7,Tableau4[],28,FALSE)</f>
        <v>5.3</v>
      </c>
      <c r="Y12" s="614" t="s">
        <v>887</v>
      </c>
      <c r="Z12" s="664"/>
      <c r="AB12" s="392"/>
      <c r="AC12" s="620"/>
    </row>
    <row r="13" spans="1:29" ht="14.45" customHeight="1" thickBot="1">
      <c r="A13" s="1025"/>
      <c r="B13" s="237"/>
      <c r="C13" s="450"/>
      <c r="D13" s="465">
        <f t="shared" si="0"/>
        <v>0</v>
      </c>
      <c r="E13" s="526" t="str">
        <f>IFERROR(VLOOKUP(B13,INGREDIENTS!$A$6:$E$109,3,FALSE),"")</f>
        <v/>
      </c>
      <c r="F13" s="527" t="str">
        <f>IFERROR(VLOOKUP(B13,INGREDIENTS!$A$6:$E$109,2,FALSE),"")</f>
        <v/>
      </c>
      <c r="G13" s="528" t="str">
        <f>IFERROR(VLOOKUP(B13,INGREDIENTS!$A$6:$E$121,5,FALSE),"")</f>
        <v/>
      </c>
      <c r="H13" s="529" t="str">
        <f>IFERROR(VLOOKUP(B13,INGREDIENTS!$A$6:$F$121,6,FALSE),"")</f>
        <v/>
      </c>
      <c r="I13" s="360"/>
      <c r="J13" s="788"/>
      <c r="K13" s="789"/>
      <c r="L13" s="791"/>
      <c r="M13" s="799">
        <v>78</v>
      </c>
      <c r="N13" s="800"/>
      <c r="O13" s="795"/>
      <c r="P13" s="1027"/>
      <c r="Q13" s="352"/>
      <c r="R13" s="1021"/>
      <c r="S13" s="618">
        <f>VLOOKUP($T$7,Tableau4[],9,FALSE)</f>
        <v>9.5</v>
      </c>
      <c r="T13" s="618">
        <f>VLOOKUP($T$7,Tableau4[],5,FALSE)</f>
        <v>1.085</v>
      </c>
      <c r="U13" s="618">
        <f>VLOOKUP($T$7,Tableau4[],7,FALSE)</f>
        <v>1.014</v>
      </c>
      <c r="V13" s="618">
        <f>VLOOKUP($T$7,Tableau4[],11,FALSE)</f>
        <v>40</v>
      </c>
      <c r="W13" s="618">
        <f>VLOOKUP($T$7,Tableau4[],13,FALSE)</f>
        <v>13.8</v>
      </c>
      <c r="X13" s="618">
        <f>VLOOKUP($T$7,Tableau4[],29,FALSE)</f>
        <v>5.5</v>
      </c>
      <c r="Y13" s="619" t="s">
        <v>888</v>
      </c>
      <c r="Z13" s="665"/>
      <c r="AB13" s="392"/>
      <c r="AC13" s="621"/>
    </row>
    <row r="14" spans="1:29" ht="14.45" customHeight="1">
      <c r="A14" s="1025"/>
      <c r="B14" s="237"/>
      <c r="C14" s="450"/>
      <c r="D14" s="465">
        <f t="shared" si="0"/>
        <v>0</v>
      </c>
      <c r="E14" s="526" t="str">
        <f>IFERROR(VLOOKUP(B14,INGREDIENTS!$A$6:$E$109,3,FALSE),"")</f>
        <v/>
      </c>
      <c r="F14" s="527" t="str">
        <f>IFERROR(VLOOKUP(B14,INGREDIENTS!$A$6:$E$109,2,FALSE),"")</f>
        <v/>
      </c>
      <c r="G14" s="528" t="str">
        <f>IFERROR(VLOOKUP(B14,INGREDIENTS!$A$6:$E$121,5,FALSE),"")</f>
        <v/>
      </c>
      <c r="H14" s="529" t="str">
        <f>IFERROR(VLOOKUP(B14,INGREDIENTS!$A$6:$F$121,6,FALSE),"")</f>
        <v/>
      </c>
      <c r="I14" s="360"/>
      <c r="J14" s="725" t="s">
        <v>714</v>
      </c>
      <c r="K14" s="352"/>
      <c r="L14" s="352"/>
      <c r="M14" s="352"/>
      <c r="N14" s="352"/>
      <c r="O14" s="352"/>
      <c r="P14" s="352"/>
      <c r="Q14" s="352"/>
      <c r="AC14" s="620"/>
    </row>
    <row r="15" spans="1:29" ht="17.100000000000001" customHeight="1" thickBot="1">
      <c r="A15" s="1025"/>
      <c r="B15" s="32"/>
      <c r="C15" s="26"/>
      <c r="D15" s="465">
        <f t="shared" si="0"/>
        <v>0</v>
      </c>
      <c r="E15" s="526" t="str">
        <f>IFERROR(VLOOKUP(B15,INGREDIENTS!$A$6:$E$109,3,FALSE),"")</f>
        <v/>
      </c>
      <c r="F15" s="527" t="str">
        <f>IFERROR(VLOOKUP(B15,INGREDIENTS!$A$6:$E$109,2,FALSE),"")</f>
        <v/>
      </c>
      <c r="G15" s="528" t="str">
        <f>IFERROR(VLOOKUP(B15,INGREDIENTS!$A$6:$E$121,5,FALSE),"")</f>
        <v/>
      </c>
      <c r="H15" s="529" t="str">
        <f>IFERROR(VLOOKUP(B15,INGREDIENTS!$A$6:$F$121,6,FALSE),"")</f>
        <v/>
      </c>
      <c r="I15" s="360"/>
      <c r="J15" s="352"/>
      <c r="K15" s="352"/>
      <c r="L15" s="352"/>
      <c r="M15" s="352"/>
      <c r="N15" s="352"/>
      <c r="O15" s="352"/>
      <c r="P15" s="352"/>
      <c r="Q15" s="352"/>
      <c r="AC15" s="620"/>
    </row>
    <row r="16" spans="1:29" ht="17.100000000000001" customHeight="1">
      <c r="A16" s="1025"/>
      <c r="B16" s="32"/>
      <c r="C16" s="26"/>
      <c r="D16" s="465">
        <f t="shared" si="0"/>
        <v>0</v>
      </c>
      <c r="E16" s="526" t="str">
        <f>IFERROR(VLOOKUP(B16,INGREDIENTS!$A$6:$E$109,3,FALSE),"")</f>
        <v/>
      </c>
      <c r="F16" s="527" t="str">
        <f>IFERROR(VLOOKUP(B16,INGREDIENTS!$A$6:$E$109,2,FALSE),"")</f>
        <v/>
      </c>
      <c r="G16" s="528" t="str">
        <f>IFERROR(VLOOKUP(B16,INGREDIENTS!$A$6:$E$121,5,FALSE),"")</f>
        <v/>
      </c>
      <c r="H16" s="529" t="str">
        <f>IFERROR(VLOOKUP(B16,INGREDIENTS!$A$6:$F$121,6,FALSE),"")</f>
        <v/>
      </c>
      <c r="I16" s="360"/>
      <c r="J16" s="802" t="s">
        <v>628</v>
      </c>
      <c r="K16" s="803"/>
      <c r="L16" s="205"/>
      <c r="M16" s="542" t="s">
        <v>737</v>
      </c>
      <c r="N16" s="808" t="s">
        <v>630</v>
      </c>
      <c r="O16" s="1012"/>
      <c r="P16" s="810"/>
      <c r="Q16" s="352"/>
      <c r="R16" s="798" t="s">
        <v>682</v>
      </c>
      <c r="S16" s="798"/>
      <c r="T16" s="798"/>
      <c r="AC16" s="620"/>
    </row>
    <row r="17" spans="1:29" ht="17.100000000000001" customHeight="1">
      <c r="A17" s="1025"/>
      <c r="B17" s="32"/>
      <c r="C17" s="26"/>
      <c r="D17" s="465">
        <f t="shared" si="0"/>
        <v>0</v>
      </c>
      <c r="E17" s="526" t="str">
        <f>IFERROR(VLOOKUP(B17,INGREDIENTS!$A$6:$E$109,3,FALSE),"")</f>
        <v/>
      </c>
      <c r="F17" s="527" t="str">
        <f>IFERROR(VLOOKUP(B17,INGREDIENTS!$A$6:$E$109,2,FALSE),"")</f>
        <v/>
      </c>
      <c r="G17" s="528" t="str">
        <f>IFERROR(VLOOKUP(B17,INGREDIENTS!$A$6:$E$121,5,FALSE),"")</f>
        <v/>
      </c>
      <c r="H17" s="529" t="str">
        <f>IFERROR(VLOOKUP(B17,INGREDIENTS!$A$6:$F$121,6,FALSE),"")</f>
        <v/>
      </c>
      <c r="I17" s="360"/>
      <c r="J17" s="804"/>
      <c r="K17" s="805"/>
      <c r="L17" s="38" t="s">
        <v>631</v>
      </c>
      <c r="M17" s="543"/>
      <c r="N17" s="1013"/>
      <c r="O17" s="1014"/>
      <c r="P17" s="1015"/>
      <c r="Q17" s="352"/>
      <c r="R17" s="304" t="s">
        <v>870</v>
      </c>
      <c r="Z17" s="390"/>
      <c r="AA17" s="392"/>
      <c r="AC17" s="620"/>
    </row>
    <row r="18" spans="1:29" ht="17.100000000000001" customHeight="1">
      <c r="A18" s="1025"/>
      <c r="B18" s="32"/>
      <c r="C18" s="26"/>
      <c r="D18" s="465">
        <f t="shared" si="0"/>
        <v>0</v>
      </c>
      <c r="E18" s="526" t="str">
        <f>IFERROR(VLOOKUP(B18,INGREDIENTS!$A$6:$E$109,3,FALSE),"")</f>
        <v/>
      </c>
      <c r="F18" s="527" t="str">
        <f>IFERROR(VLOOKUP(B18,INGREDIENTS!$A$6:$E$109,2,FALSE),"")</f>
        <v/>
      </c>
      <c r="G18" s="528" t="str">
        <f>IFERROR(VLOOKUP(B18,INGREDIENTS!$A$6:$E$121,5,FALSE),"")</f>
        <v/>
      </c>
      <c r="H18" s="529" t="str">
        <f>IFERROR(VLOOKUP(B18,INGREDIENTS!$A$6:$F$121,6,FALSE),"")</f>
        <v/>
      </c>
      <c r="I18" s="360"/>
      <c r="J18" s="804"/>
      <c r="K18" s="805"/>
      <c r="L18" s="38" t="s">
        <v>603</v>
      </c>
      <c r="M18" s="543">
        <v>25</v>
      </c>
      <c r="N18" s="1016"/>
      <c r="O18" s="1017"/>
      <c r="P18" s="1018"/>
      <c r="Q18" s="352"/>
      <c r="R18" s="304" t="s">
        <v>908</v>
      </c>
      <c r="Z18" s="390"/>
      <c r="AA18" s="392"/>
    </row>
    <row r="19" spans="1:29" ht="17.100000000000001" customHeight="1" thickBot="1">
      <c r="A19" s="1025"/>
      <c r="B19" s="32"/>
      <c r="C19" s="26"/>
      <c r="D19" s="465">
        <f t="shared" si="0"/>
        <v>0</v>
      </c>
      <c r="E19" s="526" t="str">
        <f>IFERROR(VLOOKUP(B19,INGREDIENTS!$A$6:$E$109,3,FALSE),"")</f>
        <v/>
      </c>
      <c r="F19" s="527" t="str">
        <f>IFERROR(VLOOKUP(B19,INGREDIENTS!$A$6:$E$109,2,FALSE),"")</f>
        <v/>
      </c>
      <c r="G19" s="528" t="str">
        <f>IFERROR(VLOOKUP(B19,INGREDIENTS!$A$6:$E$121,5,FALSE),"")</f>
        <v/>
      </c>
      <c r="H19" s="529" t="str">
        <f>IFERROR(VLOOKUP(B19,INGREDIENTS!$A$6:$F$121,6,FALSE),"")</f>
        <v/>
      </c>
      <c r="I19" s="361"/>
      <c r="J19" s="804"/>
      <c r="K19" s="805"/>
      <c r="L19" s="1028" t="s">
        <v>607</v>
      </c>
      <c r="M19" s="1030">
        <f>(2.57452*(M17-1)*M18*1000)/(C26*(SUMPRODUCT(F10:F23,C10:C23)/$C$26))</f>
        <v>-11.616297432658033</v>
      </c>
      <c r="N19" s="1032">
        <f>(2.57452*(N17-1)*N18*1000)/(C26*(SUMPRODUCT(F10:F23,C10:C23)/$C$26))</f>
        <v>0</v>
      </c>
      <c r="O19" s="1033"/>
      <c r="P19" s="1034"/>
      <c r="Q19" s="352"/>
      <c r="AA19" s="392"/>
    </row>
    <row r="20" spans="1:29" ht="17.45" customHeight="1" thickBot="1">
      <c r="A20" s="1038"/>
      <c r="B20" s="237" t="str">
        <f>IFERROR(VLOOKUP(A20,INGREDIENTS!$A$6:$E$38,3,FALSE),"")</f>
        <v/>
      </c>
      <c r="C20" s="450"/>
      <c r="D20" s="466">
        <f t="shared" si="0"/>
        <v>0</v>
      </c>
      <c r="E20" s="526" t="str">
        <f>IFERROR(VLOOKUP(B20,INGREDIENTS!$A$6:$E$38,3,FALSE),"")</f>
        <v/>
      </c>
      <c r="F20" s="527" t="str">
        <f>IFERROR(VLOOKUP(B20,INGREDIENTS!$A$6:$E$109,2,FALSE),"")</f>
        <v/>
      </c>
      <c r="G20" s="528" t="str">
        <f>IFERROR(VLOOKUP(B20,INGREDIENTS!$A$6:$E$121,5,FALSE),"")</f>
        <v/>
      </c>
      <c r="H20" s="529" t="str">
        <f>IFERROR(VLOOKUP(B20,INGREDIENTS!$A$6:$F$121,6,FALSE),"")</f>
        <v/>
      </c>
      <c r="I20" s="361"/>
      <c r="J20" s="806"/>
      <c r="K20" s="807"/>
      <c r="L20" s="1029"/>
      <c r="M20" s="1031"/>
      <c r="N20" s="1035"/>
      <c r="O20" s="1036"/>
      <c r="P20" s="1037"/>
      <c r="Q20" s="352"/>
      <c r="R20" s="1040" t="s">
        <v>912</v>
      </c>
      <c r="S20" s="1041"/>
      <c r="T20" s="1041"/>
      <c r="U20" s="1042"/>
    </row>
    <row r="21" spans="1:29" ht="18" customHeight="1" thickTop="1">
      <c r="A21" s="1043" t="s">
        <v>637</v>
      </c>
      <c r="B21" s="394" t="s">
        <v>842</v>
      </c>
      <c r="C21" s="451">
        <v>680</v>
      </c>
      <c r="D21" s="467">
        <f t="shared" si="0"/>
        <v>9.8351171536013887E-2</v>
      </c>
      <c r="E21" s="530">
        <f>IFERROR(VLOOKUP(B21,INGREDIENTS!$I$6:$L$37,3,FALSE),"")</f>
        <v>0</v>
      </c>
      <c r="F21" s="531">
        <f>IFERROR(VLOOKUP(B21,INGREDIENTS!$I$6:$L$37,2,FALSE),"")</f>
        <v>1</v>
      </c>
      <c r="G21" s="532">
        <f>IFERROR(VLOOKUP(B21,INGREDIENTS!$I$6:$L$37,4,FALSE),"")</f>
        <v>5.6</v>
      </c>
      <c r="H21" s="533">
        <f>IFERROR(VLOOKUP(B21,INGREDIENTS!$I$6:$M$37,5,FALSE),"")</f>
        <v>384</v>
      </c>
      <c r="I21" s="352"/>
      <c r="J21" s="725" t="s">
        <v>714</v>
      </c>
      <c r="K21" s="352"/>
      <c r="L21" s="418" t="s">
        <v>2393</v>
      </c>
      <c r="M21" s="362"/>
      <c r="N21" s="362"/>
      <c r="O21" s="362"/>
      <c r="P21" s="362"/>
      <c r="Q21" s="352"/>
      <c r="R21" s="1049"/>
      <c r="S21" s="861"/>
      <c r="T21" s="435" t="s">
        <v>615</v>
      </c>
      <c r="U21" s="435" t="s">
        <v>2093</v>
      </c>
    </row>
    <row r="22" spans="1:29" ht="15.6" customHeight="1" thickBot="1">
      <c r="A22" s="1025"/>
      <c r="B22" s="237" t="str">
        <f>IFERROR(VLOOKUP(A22,INGREDIENTS!$I$6:$L$24,3,FALSE),"")</f>
        <v/>
      </c>
      <c r="C22" s="450"/>
      <c r="D22" s="465">
        <f t="shared" si="0"/>
        <v>0</v>
      </c>
      <c r="E22" s="526" t="str">
        <f>IFERROR(VLOOKUP(B22,INGREDIENTS!$I$6:$L$37,3,FALSE),"")</f>
        <v/>
      </c>
      <c r="F22" s="527" t="str">
        <f>IFERROR(VLOOKUP(B22,INGREDIENTS!$I$6:$L$37,2,FALSE),"")</f>
        <v/>
      </c>
      <c r="G22" s="528" t="str">
        <f>IFERROR(VLOOKUP(B22,INGREDIENTS!$I$6:$L$37,4,FALSE),"")</f>
        <v/>
      </c>
      <c r="H22" s="529" t="str">
        <f>IFERROR(VLOOKUP(B22,INGREDIENTS!$I$6:$M$37,5,FALSE),"")</f>
        <v/>
      </c>
      <c r="I22" s="355"/>
      <c r="J22" s="352"/>
      <c r="K22" s="352"/>
      <c r="L22" s="352"/>
      <c r="M22" s="352"/>
      <c r="N22" s="352"/>
      <c r="O22" s="352"/>
      <c r="P22" s="352"/>
      <c r="Q22" s="352"/>
      <c r="R22" s="1049" t="s">
        <v>916</v>
      </c>
      <c r="S22" s="861"/>
      <c r="T22" s="435">
        <f>G26</f>
        <v>5.5068730112814572</v>
      </c>
      <c r="U22" s="435"/>
    </row>
    <row r="23" spans="1:29" ht="14.45" customHeight="1" thickBot="1">
      <c r="A23" s="1025"/>
      <c r="B23" s="477" t="str">
        <f>IFERROR(VLOOKUP(A23,INGREDIENTS!$I$6:$L$24,3,FALSE),"")</f>
        <v/>
      </c>
      <c r="C23" s="478"/>
      <c r="D23" s="479">
        <f t="shared" si="0"/>
        <v>0</v>
      </c>
      <c r="E23" s="534" t="str">
        <f>IFERROR(VLOOKUP(B23,INGREDIENTS!$I$6:$L$37,3,FALSE),"")</f>
        <v/>
      </c>
      <c r="F23" s="535" t="str">
        <f>IFERROR(VLOOKUP(B23,INGREDIENTS!$I$6:$L$37,2,FALSE),"")</f>
        <v/>
      </c>
      <c r="G23" s="536" t="str">
        <f>IFERROR(VLOOKUP(B23,INGREDIENTS!$I$6:$L$37,4,FALSE),"")</f>
        <v/>
      </c>
      <c r="H23" s="537" t="str">
        <f>IFERROR(VLOOKUP(B23,INGREDIENTS!$I$6:$M$37,5,FALSE),"")</f>
        <v/>
      </c>
      <c r="I23" s="362"/>
      <c r="J23" s="844" t="s">
        <v>736</v>
      </c>
      <c r="K23" s="845"/>
      <c r="L23" s="181"/>
      <c r="M23" s="539" t="s">
        <v>737</v>
      </c>
      <c r="N23" s="850" t="s">
        <v>630</v>
      </c>
      <c r="O23" s="1039"/>
      <c r="P23" s="852"/>
      <c r="Q23" s="352"/>
      <c r="R23" s="1049" t="s">
        <v>913</v>
      </c>
      <c r="S23" s="861"/>
      <c r="T23" s="435">
        <f>Y5</f>
        <v>7.2</v>
      </c>
      <c r="U23" s="435">
        <f>Y5</f>
        <v>7.2</v>
      </c>
    </row>
    <row r="24" spans="1:29" ht="14.45" customHeight="1">
      <c r="A24" s="1053" t="s">
        <v>639</v>
      </c>
      <c r="B24" s="494" t="s">
        <v>634</v>
      </c>
      <c r="C24" s="490">
        <f>SUM(C10:C20)</f>
        <v>6234</v>
      </c>
      <c r="D24" s="487">
        <f>SUM(D10:D20)</f>
        <v>0.90164882846398609</v>
      </c>
      <c r="E24" s="1056" t="s">
        <v>2021</v>
      </c>
      <c r="F24" s="1057"/>
      <c r="G24" s="493">
        <v>0.27500000000000002</v>
      </c>
      <c r="H24" s="482" t="s">
        <v>2077</v>
      </c>
      <c r="I24" s="362"/>
      <c r="J24" s="846"/>
      <c r="K24" s="847"/>
      <c r="L24" s="570" t="s">
        <v>631</v>
      </c>
      <c r="M24" s="540">
        <v>1.0740000000000001</v>
      </c>
      <c r="N24" s="1046"/>
      <c r="O24" s="1047"/>
      <c r="P24" s="1048"/>
      <c r="Q24" s="352"/>
      <c r="R24" s="1049" t="s">
        <v>869</v>
      </c>
      <c r="S24" s="861"/>
      <c r="T24" s="435">
        <v>5.4</v>
      </c>
      <c r="U24" s="435">
        <v>5.6</v>
      </c>
    </row>
    <row r="25" spans="1:29" ht="14.45" customHeight="1">
      <c r="A25" s="1054"/>
      <c r="B25" s="485" t="s">
        <v>2024</v>
      </c>
      <c r="C25" s="491">
        <f>SUM(C21:C23)</f>
        <v>680</v>
      </c>
      <c r="D25" s="488">
        <f>SUM(D21:D23)</f>
        <v>9.8351171536013887E-2</v>
      </c>
      <c r="E25" s="473" t="s">
        <v>2</v>
      </c>
      <c r="F25" s="474" t="s">
        <v>2022</v>
      </c>
      <c r="G25" s="475" t="s">
        <v>23</v>
      </c>
      <c r="H25" s="484">
        <f>1+(SUMPRODUCT(H10:H23,C10:C23,F10:F23)*G24/1000/M18)/258</f>
        <v>1.0732707122093024</v>
      </c>
      <c r="I25" s="362"/>
      <c r="J25" s="846"/>
      <c r="K25" s="847"/>
      <c r="L25" s="571" t="s">
        <v>603</v>
      </c>
      <c r="M25" s="544">
        <v>22.5</v>
      </c>
      <c r="N25" s="1050"/>
      <c r="O25" s="1050"/>
      <c r="P25" s="875"/>
      <c r="Q25" s="352"/>
      <c r="R25" s="1049" t="s">
        <v>915</v>
      </c>
      <c r="S25" s="861"/>
      <c r="T25" s="436">
        <v>20</v>
      </c>
      <c r="U25" s="436">
        <v>14</v>
      </c>
    </row>
    <row r="26" spans="1:29" ht="14.45" customHeight="1" thickBot="1">
      <c r="A26" s="1055"/>
      <c r="B26" s="486" t="s">
        <v>2023</v>
      </c>
      <c r="C26" s="492">
        <f>SUM(C10:C23)</f>
        <v>6914</v>
      </c>
      <c r="D26" s="489">
        <f>SUM(D10:D23)</f>
        <v>1</v>
      </c>
      <c r="E26" s="483">
        <f>2.9396*((4.23*SUMPRODUCT(E10:E23,C10:C23)/1000)/M25)^0.6859</f>
        <v>13.23553050341123</v>
      </c>
      <c r="F26" s="480">
        <f>SUMPRODUCT(F10:F23,C10:C23)/$C$26</f>
        <v>0.80138125542377781</v>
      </c>
      <c r="G26" s="481">
        <f>SUMPRODUCT(G10:G23,C10:C23)/$C$26</f>
        <v>5.5068730112814572</v>
      </c>
      <c r="H26" s="476">
        <f>1+(SUMPRODUCT(H10:H23,C10:C23,F10:F23)*G24/1000/M25)/258</f>
        <v>1.0814119024547804</v>
      </c>
      <c r="I26" s="352"/>
      <c r="J26" s="846"/>
      <c r="K26" s="847"/>
      <c r="L26" s="243" t="s">
        <v>635</v>
      </c>
      <c r="M26" s="541">
        <v>10</v>
      </c>
      <c r="N26" s="876" t="e">
        <f>(N18-N25)*100/N18</f>
        <v>#DIV/0!</v>
      </c>
      <c r="O26" s="1051"/>
      <c r="P26" s="1052"/>
      <c r="Q26" s="352"/>
      <c r="R26" s="1077" t="s">
        <v>914</v>
      </c>
      <c r="S26" s="869"/>
      <c r="T26" s="1079">
        <v>0.8</v>
      </c>
      <c r="U26" s="1081">
        <v>0.8</v>
      </c>
    </row>
    <row r="27" spans="1:29" ht="17.25" customHeight="1" thickBot="1">
      <c r="A27" s="725" t="s">
        <v>2571</v>
      </c>
      <c r="B27" s="678" t="s">
        <v>2572</v>
      </c>
      <c r="C27" s="352"/>
      <c r="D27" s="352"/>
      <c r="E27" s="352"/>
      <c r="F27" s="352"/>
      <c r="G27" s="352"/>
      <c r="H27" s="352"/>
      <c r="I27" s="355"/>
      <c r="J27" s="846"/>
      <c r="K27" s="847"/>
      <c r="L27" s="565" t="s">
        <v>636</v>
      </c>
      <c r="M27" s="566"/>
      <c r="N27" s="566"/>
      <c r="O27" s="567"/>
      <c r="P27" s="568">
        <f>((N17-1)*1000)*N18*2.57452-((N24-1)*1000)*N25*2.57452</f>
        <v>0</v>
      </c>
      <c r="Q27" s="352"/>
      <c r="R27" s="1078"/>
      <c r="S27" s="871"/>
      <c r="T27" s="1080"/>
      <c r="U27" s="1082"/>
    </row>
    <row r="28" spans="1:29" ht="14.45" customHeight="1" thickBot="1">
      <c r="A28" s="352"/>
      <c r="B28" s="678" t="s">
        <v>2573</v>
      </c>
      <c r="C28" s="352"/>
      <c r="D28" s="352"/>
      <c r="E28" s="352"/>
      <c r="F28" s="352"/>
      <c r="G28" s="352"/>
      <c r="H28" s="352"/>
      <c r="I28" s="363"/>
      <c r="J28" s="846"/>
      <c r="K28" s="847"/>
      <c r="L28" s="571" t="s">
        <v>718</v>
      </c>
      <c r="M28" s="864">
        <v>10</v>
      </c>
      <c r="N28" s="865"/>
      <c r="O28" s="866">
        <v>85</v>
      </c>
      <c r="P28" s="867"/>
      <c r="Q28" s="352"/>
      <c r="R28" s="1075" t="s">
        <v>644</v>
      </c>
      <c r="S28" s="1076"/>
      <c r="T28" s="437">
        <f>((POWER(10,-T24)-POWER(10,-T23))*T25)/(T26/100)/(1.206/1000)</f>
        <v>8.121840736084053</v>
      </c>
      <c r="U28" s="437">
        <f>((POWER(10,-U24)-POWER(10,-U23))*U25)/(U26/100)/(1.206/1000)</f>
        <v>3.5533861690362616</v>
      </c>
    </row>
    <row r="29" spans="1:29" ht="14.45" customHeight="1" thickBot="1">
      <c r="A29" s="853" t="s">
        <v>643</v>
      </c>
      <c r="B29" s="415" t="s">
        <v>2073</v>
      </c>
      <c r="C29" s="856" t="s">
        <v>588</v>
      </c>
      <c r="D29" s="878"/>
      <c r="E29" s="878"/>
      <c r="F29" s="878"/>
      <c r="G29" s="857"/>
      <c r="H29" s="347" t="s">
        <v>644</v>
      </c>
      <c r="I29" s="363"/>
      <c r="J29" s="846"/>
      <c r="K29" s="847"/>
      <c r="L29" s="571" t="s">
        <v>716</v>
      </c>
      <c r="M29" s="864">
        <v>2</v>
      </c>
      <c r="N29" s="865"/>
      <c r="O29" s="866">
        <v>85</v>
      </c>
      <c r="P29" s="867"/>
      <c r="Q29" s="352"/>
    </row>
    <row r="30" spans="1:29" ht="15" customHeight="1">
      <c r="A30" s="854"/>
      <c r="B30" s="452" t="s">
        <v>757</v>
      </c>
      <c r="C30" s="673" t="s">
        <v>2324</v>
      </c>
      <c r="D30" s="411"/>
      <c r="E30" s="411"/>
      <c r="F30" s="411"/>
      <c r="G30" s="411"/>
      <c r="H30" s="348" t="s">
        <v>2323</v>
      </c>
      <c r="I30" s="363"/>
      <c r="J30" s="846"/>
      <c r="K30" s="847"/>
      <c r="L30" s="571" t="s">
        <v>717</v>
      </c>
      <c r="M30" s="864">
        <v>30</v>
      </c>
      <c r="N30" s="865"/>
      <c r="O30" s="866">
        <v>80</v>
      </c>
      <c r="P30" s="867"/>
      <c r="Q30" s="352"/>
      <c r="R30" s="1058" t="s">
        <v>1922</v>
      </c>
      <c r="S30" s="1059"/>
      <c r="T30" s="1059"/>
      <c r="U30" s="1060"/>
      <c r="W30" s="1061" t="s">
        <v>2005</v>
      </c>
      <c r="X30" s="1062"/>
      <c r="Y30" s="1062"/>
      <c r="Z30" s="1062"/>
      <c r="AA30" s="1063"/>
    </row>
    <row r="31" spans="1:29" ht="15.6" customHeight="1" thickBot="1">
      <c r="A31" s="854"/>
      <c r="B31" s="452"/>
      <c r="C31" s="410"/>
      <c r="D31" s="411"/>
      <c r="E31" s="411"/>
      <c r="F31" s="411"/>
      <c r="G31" s="411"/>
      <c r="H31" s="348"/>
      <c r="I31" s="363"/>
      <c r="J31" s="848"/>
      <c r="K31" s="849"/>
      <c r="L31" s="572" t="s">
        <v>718</v>
      </c>
      <c r="M31" s="887">
        <v>35</v>
      </c>
      <c r="N31" s="888"/>
      <c r="O31" s="889">
        <v>27</v>
      </c>
      <c r="P31" s="890"/>
      <c r="Q31" s="352"/>
      <c r="R31" s="630"/>
      <c r="S31" s="631"/>
      <c r="T31" s="407" t="s">
        <v>615</v>
      </c>
      <c r="U31" s="438" t="s">
        <v>2093</v>
      </c>
      <c r="W31" s="633" t="s">
        <v>2006</v>
      </c>
      <c r="X31" s="668"/>
      <c r="Y31" s="431" t="s">
        <v>1851</v>
      </c>
      <c r="Z31" s="431" t="s">
        <v>646</v>
      </c>
      <c r="AA31" s="434" t="s">
        <v>2007</v>
      </c>
    </row>
    <row r="32" spans="1:29" ht="15.6" customHeight="1">
      <c r="A32" s="854"/>
      <c r="B32" s="452"/>
      <c r="C32" s="410"/>
      <c r="D32" s="411"/>
      <c r="E32" s="411"/>
      <c r="F32" s="411"/>
      <c r="G32" s="411"/>
      <c r="H32" s="348"/>
      <c r="I32" s="363"/>
      <c r="J32" s="725" t="s">
        <v>714</v>
      </c>
      <c r="K32" s="352"/>
      <c r="L32" s="418" t="s">
        <v>2392</v>
      </c>
      <c r="M32" s="418"/>
      <c r="N32" s="418"/>
      <c r="O32" s="418"/>
      <c r="P32" s="418"/>
      <c r="Q32" s="352"/>
      <c r="R32" s="1070" t="s">
        <v>1924</v>
      </c>
      <c r="S32" s="1071"/>
      <c r="T32" s="408"/>
      <c r="U32" s="439"/>
      <c r="W32" s="634"/>
      <c r="X32" s="629"/>
      <c r="Y32" s="432"/>
      <c r="Z32" s="433"/>
      <c r="AA32" s="603">
        <f>W32+0.00352871*(Z32-20)^2+0.225225*(Z32-20)</f>
        <v>-3.0930160000000004</v>
      </c>
    </row>
    <row r="33" spans="1:28" ht="17.100000000000001" customHeight="1" thickBot="1">
      <c r="A33" s="587"/>
      <c r="B33" s="452"/>
      <c r="C33" s="410"/>
      <c r="D33" s="411"/>
      <c r="E33" s="411"/>
      <c r="F33" s="411"/>
      <c r="G33" s="411"/>
      <c r="H33" s="348"/>
      <c r="I33" s="363"/>
      <c r="J33" s="352"/>
      <c r="K33" s="352"/>
      <c r="L33" s="352"/>
      <c r="M33" s="352"/>
      <c r="N33" s="352"/>
      <c r="O33" s="352"/>
      <c r="P33" s="352"/>
      <c r="Q33" s="352"/>
      <c r="R33" s="1070" t="s">
        <v>1925</v>
      </c>
      <c r="S33" s="1071"/>
      <c r="T33" s="408"/>
      <c r="U33" s="439"/>
      <c r="W33" s="634"/>
      <c r="X33" s="629"/>
      <c r="Y33" s="432"/>
      <c r="Z33" s="433"/>
      <c r="AA33" s="603">
        <f t="shared" ref="AA33:AA38" si="1">W33+0.00352871*(Z33-20)^2+0.225225*(Z33-20)</f>
        <v>-3.0930160000000004</v>
      </c>
    </row>
    <row r="34" spans="1:28" ht="17.100000000000001" customHeight="1" thickBot="1">
      <c r="A34" s="588"/>
      <c r="B34" s="453"/>
      <c r="C34" s="412"/>
      <c r="D34" s="413"/>
      <c r="E34" s="413"/>
      <c r="F34" s="413"/>
      <c r="G34" s="413"/>
      <c r="H34" s="349"/>
      <c r="I34" s="363"/>
      <c r="J34" s="891" t="s">
        <v>638</v>
      </c>
      <c r="K34" s="892"/>
      <c r="L34" s="179"/>
      <c r="M34" s="545" t="s">
        <v>737</v>
      </c>
      <c r="N34" s="897" t="s">
        <v>630</v>
      </c>
      <c r="O34" s="1044"/>
      <c r="P34" s="1045"/>
      <c r="Q34" s="352"/>
      <c r="R34" s="1070" t="s">
        <v>1926</v>
      </c>
      <c r="S34" s="1071"/>
      <c r="T34" s="408"/>
      <c r="U34" s="439"/>
      <c r="W34" s="634"/>
      <c r="X34" s="629"/>
      <c r="Y34" s="432"/>
      <c r="Z34" s="433"/>
      <c r="AA34" s="603">
        <f t="shared" si="1"/>
        <v>-3.0930160000000004</v>
      </c>
    </row>
    <row r="35" spans="1:28" ht="17.100000000000001" customHeight="1">
      <c r="A35" s="725" t="s">
        <v>2571</v>
      </c>
      <c r="B35" s="352"/>
      <c r="C35" s="352"/>
      <c r="D35" s="352"/>
      <c r="E35" s="352"/>
      <c r="F35" s="352"/>
      <c r="G35" s="352"/>
      <c r="H35" s="352"/>
      <c r="I35" s="363"/>
      <c r="J35" s="893"/>
      <c r="K35" s="894"/>
      <c r="L35" s="49" t="s">
        <v>604</v>
      </c>
      <c r="M35" s="546">
        <v>1.0740000000000001</v>
      </c>
      <c r="N35" s="1064"/>
      <c r="O35" s="1065"/>
      <c r="P35" s="1066"/>
      <c r="Q35" s="352"/>
      <c r="R35" s="1070" t="s">
        <v>1927</v>
      </c>
      <c r="S35" s="1071"/>
      <c r="T35" s="408"/>
      <c r="U35" s="439"/>
      <c r="W35" s="634"/>
      <c r="X35" s="629"/>
      <c r="Y35" s="432"/>
      <c r="Z35" s="433"/>
      <c r="AA35" s="603">
        <f t="shared" si="1"/>
        <v>-3.0930160000000004</v>
      </c>
      <c r="AB35" s="403"/>
    </row>
    <row r="36" spans="1:28" ht="14.45" customHeight="1" thickBot="1">
      <c r="A36" s="352"/>
      <c r="B36" s="352"/>
      <c r="C36" s="352"/>
      <c r="D36" s="352"/>
      <c r="E36" s="352"/>
      <c r="F36" s="352"/>
      <c r="G36" s="352"/>
      <c r="H36" s="352"/>
      <c r="I36" s="363"/>
      <c r="J36" s="893"/>
      <c r="K36" s="894"/>
      <c r="L36" s="49" t="s">
        <v>603</v>
      </c>
      <c r="M36" s="547">
        <v>21</v>
      </c>
      <c r="N36" s="1067"/>
      <c r="O36" s="1068"/>
      <c r="P36" s="1069"/>
      <c r="Q36" s="352"/>
      <c r="R36" s="1070" t="s">
        <v>1928</v>
      </c>
      <c r="S36" s="1071"/>
      <c r="T36" s="409">
        <v>1.54</v>
      </c>
      <c r="U36" s="440"/>
      <c r="W36" s="667"/>
      <c r="X36" s="632"/>
      <c r="Y36" s="601"/>
      <c r="Z36" s="602"/>
      <c r="AA36" s="603">
        <f t="shared" si="1"/>
        <v>-3.0930160000000004</v>
      </c>
      <c r="AB36" s="403"/>
    </row>
    <row r="37" spans="1:28" ht="14.45" customHeight="1" thickBot="1">
      <c r="A37" s="884" t="s">
        <v>649</v>
      </c>
      <c r="B37" s="157" t="s">
        <v>2073</v>
      </c>
      <c r="C37" s="157" t="s">
        <v>633</v>
      </c>
      <c r="D37" s="157" t="s">
        <v>2080</v>
      </c>
      <c r="E37" s="157" t="s">
        <v>647</v>
      </c>
      <c r="F37" s="157" t="s">
        <v>646</v>
      </c>
      <c r="G37" s="259" t="s">
        <v>2011</v>
      </c>
      <c r="H37" s="158" t="s">
        <v>651</v>
      </c>
      <c r="I37" s="363"/>
      <c r="J37" s="895"/>
      <c r="K37" s="896"/>
      <c r="L37" s="583" t="s">
        <v>642</v>
      </c>
      <c r="M37" s="576">
        <f>(2.57452*M36*(M35-1)*1000)/(F26*C26)</f>
        <v>0.72206904841402397</v>
      </c>
      <c r="N37" s="1072">
        <f>(2.57452*N36*(N35-1)*1000)/(F26*C26)</f>
        <v>0</v>
      </c>
      <c r="O37" s="1073"/>
      <c r="P37" s="1074"/>
      <c r="Q37" s="352"/>
      <c r="R37" s="1070" t="s">
        <v>1929</v>
      </c>
      <c r="S37" s="1071"/>
      <c r="T37" s="408"/>
      <c r="U37" s="439"/>
      <c r="W37" s="634"/>
      <c r="X37" s="629"/>
      <c r="Y37" s="432"/>
      <c r="Z37" s="433"/>
      <c r="AA37" s="603">
        <f t="shared" si="1"/>
        <v>-3.0930160000000004</v>
      </c>
      <c r="AB37" s="403"/>
    </row>
    <row r="38" spans="1:28" ht="14.45" customHeight="1" thickBot="1">
      <c r="A38" s="885"/>
      <c r="B38" s="402" t="s">
        <v>93</v>
      </c>
      <c r="C38" s="139">
        <v>33</v>
      </c>
      <c r="D38" s="402" t="s">
        <v>732</v>
      </c>
      <c r="E38" s="138">
        <v>60</v>
      </c>
      <c r="F38" s="470"/>
      <c r="G38" s="574">
        <f>IFERROR(VLOOKUP(B38,INGREDIENTS!$R$6:$U$171,4,FALSE), "")</f>
        <v>5.5E-2</v>
      </c>
      <c r="H38" s="575">
        <f>IFERROR((VLOOKUP(D38,INGREDIENTS!$AA$6:$AB$14,2,FALSE))*((1.65*(0.000125^($M$35-1))*((1-EXP(-0.04*E38))/4.15))*G38*C38*1000)/($M$36),"")</f>
        <v>16.068048700526564</v>
      </c>
      <c r="I38" s="363"/>
      <c r="J38" s="725" t="s">
        <v>714</v>
      </c>
      <c r="K38" s="362"/>
      <c r="L38" s="678" t="s">
        <v>2574</v>
      </c>
      <c r="M38" s="362"/>
      <c r="N38" s="362"/>
      <c r="O38" s="362"/>
      <c r="P38" s="362"/>
      <c r="Q38" s="352"/>
      <c r="R38" s="1128" t="s">
        <v>1923</v>
      </c>
      <c r="S38" s="1129"/>
      <c r="T38" s="448">
        <f>T28</f>
        <v>8.121840736084053</v>
      </c>
      <c r="U38" s="449">
        <f>U28</f>
        <v>3.5533861690362616</v>
      </c>
      <c r="W38" s="628"/>
      <c r="X38" s="669"/>
      <c r="Y38" s="599"/>
      <c r="Z38" s="600"/>
      <c r="AA38" s="604">
        <f t="shared" si="1"/>
        <v>-3.0930160000000004</v>
      </c>
      <c r="AB38" s="403"/>
    </row>
    <row r="39" spans="1:28" ht="14.45" customHeight="1" thickBot="1">
      <c r="A39" s="885"/>
      <c r="B39" s="402" t="s">
        <v>491</v>
      </c>
      <c r="C39" s="139">
        <v>26</v>
      </c>
      <c r="D39" s="402" t="s">
        <v>724</v>
      </c>
      <c r="E39" s="138">
        <v>15</v>
      </c>
      <c r="F39" s="470"/>
      <c r="G39" s="574">
        <f>IFERROR(VLOOKUP(B39,INGREDIENTS!$R$6:$U$171,4,FALSE), "")</f>
        <v>3.5000000000000003E-2</v>
      </c>
      <c r="H39" s="575">
        <f>IFERROR((VLOOKUP(D39,INGREDIENTS!$AA$6:$AB$14,2,FALSE))*((1.65*(0.000125^($M$35-1))*((1-EXP(-0.04*E39))/4.15))*G39*C39*1000)/($M$36),"")</f>
        <v>3.9974880741004561</v>
      </c>
      <c r="I39" s="363"/>
      <c r="J39" s="352"/>
      <c r="K39" s="352"/>
      <c r="L39" s="418" t="s">
        <v>2575</v>
      </c>
      <c r="M39" s="352"/>
      <c r="N39" s="352"/>
      <c r="O39" s="352"/>
      <c r="P39" s="352"/>
      <c r="Q39" s="352"/>
      <c r="R39" s="1130"/>
      <c r="S39" s="1131"/>
      <c r="T39" s="611">
        <f>T38*0.96*1000/O3</f>
        <v>487.31044416504318</v>
      </c>
      <c r="U39" s="612">
        <f>U38*0.96*1000/M12</f>
        <v>170.56253611374055</v>
      </c>
      <c r="AB39" s="403"/>
    </row>
    <row r="40" spans="1:28" ht="17.45" customHeight="1" thickBot="1">
      <c r="A40" s="885"/>
      <c r="B40" s="402" t="s">
        <v>491</v>
      </c>
      <c r="C40" s="139">
        <v>20</v>
      </c>
      <c r="D40" s="402" t="s">
        <v>2570</v>
      </c>
      <c r="E40" s="138">
        <v>15</v>
      </c>
      <c r="F40" s="470"/>
      <c r="G40" s="574">
        <f>IFERROR(VLOOKUP(B40,INGREDIENTS!$R$6:$U$171,4,FALSE), "")</f>
        <v>3.5000000000000003E-2</v>
      </c>
      <c r="H40" s="575">
        <f>IFERROR((VLOOKUP(D40,INGREDIENTS!$AA$6:$AB$14,2,FALSE))*((1.65*(0.000125^($M$35-1))*((1-EXP(-0.04*E40))/4.15))*G40*C40*1000)/($M$36),"")</f>
        <v>1.045496880918581</v>
      </c>
      <c r="I40" s="364"/>
      <c r="J40" s="1108" t="s">
        <v>645</v>
      </c>
      <c r="K40" s="1109"/>
      <c r="L40" s="552" t="s">
        <v>2074</v>
      </c>
      <c r="M40" s="553" t="s">
        <v>646</v>
      </c>
      <c r="N40" s="554" t="s">
        <v>647</v>
      </c>
      <c r="O40" s="555" t="s">
        <v>78</v>
      </c>
      <c r="P40" s="556" t="s">
        <v>605</v>
      </c>
      <c r="Q40" s="352"/>
      <c r="AB40" s="403"/>
    </row>
    <row r="41" spans="1:28" ht="14.45" customHeight="1">
      <c r="A41" s="885"/>
      <c r="B41" s="402"/>
      <c r="C41" s="139"/>
      <c r="D41" s="402"/>
      <c r="E41" s="138"/>
      <c r="F41" s="470"/>
      <c r="G41" s="574" t="str">
        <f>IFERROR(VLOOKUP(B41,INGREDIENTS!$R$6:$U$171,4,FALSE), "")</f>
        <v/>
      </c>
      <c r="H41" s="575" t="str">
        <f>IFERROR((VLOOKUP(D41,INGREDIENTS!$AA$6:$AB$14,2,FALSE))*((1.65*(0.000125^($M$35-1))*((1-EXP(-0.04*E41))/4.15))*G41*C41*1000)/($M$36),"")</f>
        <v/>
      </c>
      <c r="I41" s="362"/>
      <c r="J41" s="1110"/>
      <c r="K41" s="920"/>
      <c r="L41" s="428" t="s">
        <v>807</v>
      </c>
      <c r="M41" s="44">
        <v>19</v>
      </c>
      <c r="N41" s="45"/>
      <c r="O41" s="46" t="s">
        <v>667</v>
      </c>
      <c r="P41" s="557"/>
      <c r="Q41" s="352"/>
      <c r="R41" s="1132" t="s">
        <v>675</v>
      </c>
      <c r="S41" s="1133"/>
      <c r="T41" s="1134"/>
      <c r="AB41" s="403"/>
    </row>
    <row r="42" spans="1:28" ht="14.45" customHeight="1">
      <c r="A42" s="885"/>
      <c r="B42" s="402"/>
      <c r="C42" s="139"/>
      <c r="D42" s="402"/>
      <c r="E42" s="138"/>
      <c r="F42" s="470"/>
      <c r="G42" s="574" t="str">
        <f>IFERROR(VLOOKUP(B42,INGREDIENTS!$R$6:$U$171,4,FALSE), "")</f>
        <v/>
      </c>
      <c r="H42" s="575" t="str">
        <f>IFERROR((VLOOKUP(D42,INGREDIENTS!$AA$6:$AB$14,2,FALSE))*((1.65*(0.000125^($M$35-1))*((1-EXP(-0.04*E42))/4.15))*G42*C42*1000)/($M$36),"")</f>
        <v/>
      </c>
      <c r="I42" s="361"/>
      <c r="J42" s="1110"/>
      <c r="K42" s="920"/>
      <c r="L42" s="428" t="s">
        <v>1991</v>
      </c>
      <c r="M42" s="44">
        <v>20</v>
      </c>
      <c r="N42" s="45" t="s">
        <v>2394</v>
      </c>
      <c r="O42" s="46" t="s">
        <v>2350</v>
      </c>
      <c r="P42" s="557"/>
      <c r="Q42" s="352"/>
      <c r="R42" s="1127" t="s">
        <v>676</v>
      </c>
      <c r="S42" s="830"/>
      <c r="T42" s="441"/>
      <c r="AB42" s="403"/>
    </row>
    <row r="43" spans="1:28" ht="14.45" customHeight="1">
      <c r="A43" s="885"/>
      <c r="B43" s="402"/>
      <c r="C43" s="139"/>
      <c r="D43" s="402"/>
      <c r="E43" s="138"/>
      <c r="F43" s="470"/>
      <c r="G43" s="574" t="str">
        <f>IFERROR(VLOOKUP(B43,INGREDIENTS!$R$6:$U$171,4,FALSE), "")</f>
        <v/>
      </c>
      <c r="H43" s="575" t="str">
        <f>IFERROR((VLOOKUP(D43,INGREDIENTS!$AA$6:$AB$14,2,FALSE))*((1.65*(0.000125^($M$35-1))*((1-EXP(-0.04*E43))/4.15))*G43*C43*1000)/($M$36),"")</f>
        <v/>
      </c>
      <c r="I43" s="360"/>
      <c r="J43" s="1110"/>
      <c r="K43" s="920"/>
      <c r="L43" s="425" t="s">
        <v>1975</v>
      </c>
      <c r="M43" s="44">
        <v>20</v>
      </c>
      <c r="N43" s="45"/>
      <c r="O43" s="46" t="s">
        <v>1931</v>
      </c>
      <c r="P43" s="557"/>
      <c r="Q43" s="352"/>
      <c r="R43" s="1127" t="s">
        <v>677</v>
      </c>
      <c r="S43" s="830"/>
      <c r="T43" s="442"/>
      <c r="AB43" s="405"/>
    </row>
    <row r="44" spans="1:28" ht="14.45" customHeight="1">
      <c r="A44" s="885"/>
      <c r="B44" s="402"/>
      <c r="C44" s="139"/>
      <c r="D44" s="402"/>
      <c r="E44" s="138"/>
      <c r="F44" s="470"/>
      <c r="G44" s="574" t="str">
        <f>IFERROR(VLOOKUP(B44,INGREDIENTS!$R$6:$U$171,4,FALSE), "")</f>
        <v/>
      </c>
      <c r="H44" s="575" t="str">
        <f>IFERROR((VLOOKUP(D44,INGREDIENTS!$AA$6:$AB$14,2,FALSE))*((1.65*(0.000125^($M$35-1))*((1-EXP(-0.04*E44))/4.15))*G44*C44*1000)/($M$36),"")</f>
        <v/>
      </c>
      <c r="I44" s="360"/>
      <c r="J44" s="1110"/>
      <c r="K44" s="920"/>
      <c r="L44" s="425" t="s">
        <v>1975</v>
      </c>
      <c r="M44" s="44">
        <v>21</v>
      </c>
      <c r="N44" s="45"/>
      <c r="O44" s="46" t="s">
        <v>2332</v>
      </c>
      <c r="P44" s="557"/>
      <c r="Q44" s="352"/>
      <c r="R44" s="1127" t="s">
        <v>678</v>
      </c>
      <c r="S44" s="830"/>
      <c r="T44" s="441"/>
      <c r="AB44" s="406"/>
    </row>
    <row r="45" spans="1:28" ht="14.45" customHeight="1">
      <c r="A45" s="885"/>
      <c r="B45" s="402"/>
      <c r="C45" s="139"/>
      <c r="D45" s="402"/>
      <c r="E45" s="138"/>
      <c r="F45" s="470"/>
      <c r="G45" s="574" t="str">
        <f>IFERROR(VLOOKUP(B45,INGREDIENTS!$R$6:$U$171,4,FALSE), "")</f>
        <v/>
      </c>
      <c r="H45" s="575" t="str">
        <f>IFERROR((VLOOKUP(D45,INGREDIENTS!$AA$6:$AB$14,2,FALSE))*((1.65*(0.000125^($M$35-1))*((1-EXP(-0.04*E45))/4.15))*G45*C45*1000)/($M$36),"")</f>
        <v/>
      </c>
      <c r="I45" s="360"/>
      <c r="J45" s="1110"/>
      <c r="K45" s="920"/>
      <c r="L45" s="425" t="s">
        <v>1975</v>
      </c>
      <c r="M45" s="44">
        <v>21</v>
      </c>
      <c r="N45" s="45"/>
      <c r="O45" s="46" t="s">
        <v>2351</v>
      </c>
      <c r="P45" s="557"/>
      <c r="Q45" s="352"/>
      <c r="R45" s="1127" t="s">
        <v>679</v>
      </c>
      <c r="S45" s="830"/>
      <c r="T45" s="443" t="s">
        <v>680</v>
      </c>
    </row>
    <row r="46" spans="1:28" ht="18.600000000000001" customHeight="1">
      <c r="A46" s="885"/>
      <c r="B46" s="402"/>
      <c r="C46" s="139"/>
      <c r="D46" s="402"/>
      <c r="E46" s="138"/>
      <c r="F46" s="470"/>
      <c r="G46" s="574" t="str">
        <f>IFERROR(VLOOKUP(B46,INGREDIENTS!$R$6:$U$171,4,FALSE), "")</f>
        <v/>
      </c>
      <c r="H46" s="575" t="str">
        <f>IFERROR((VLOOKUP(D46,INGREDIENTS!$AA$6:$AB$14,2,FALSE))*((1.65*(0.000125^($M$35-1))*((1-EXP(-0.04*E46))/4.15))*G46*C46*1000)/($M$36),"")</f>
        <v/>
      </c>
      <c r="I46" s="360"/>
      <c r="J46" s="1110"/>
      <c r="K46" s="920"/>
      <c r="L46" s="425" t="s">
        <v>1967</v>
      </c>
      <c r="M46" s="44">
        <v>2</v>
      </c>
      <c r="N46" s="45"/>
      <c r="O46" s="46" t="s">
        <v>2351</v>
      </c>
      <c r="P46" s="558"/>
      <c r="Q46" s="352"/>
      <c r="R46" s="1127" t="s">
        <v>681</v>
      </c>
      <c r="S46" s="830"/>
      <c r="T46" s="444">
        <f>IF(T45="","",IF(T45="Sucre",(T44-T42)*1000*2.57452,IF(T45="DMS",(T44-T42)*1000*2.66,IF(T45="LMS",(T44-T42)*1000*3.24,IF(T45="Eau",1000*((T42-1)/(T44-1)*T43-T43)/T43)))))</f>
        <v>0</v>
      </c>
    </row>
    <row r="47" spans="1:28" ht="14.45" customHeight="1">
      <c r="A47" s="885"/>
      <c r="B47" s="402"/>
      <c r="C47" s="139"/>
      <c r="D47" s="402"/>
      <c r="E47" s="138"/>
      <c r="F47" s="470"/>
      <c r="G47" s="574" t="str">
        <f>IFERROR(VLOOKUP(B47,INGREDIENTS!$R$6:$U$171,4,FALSE), "")</f>
        <v/>
      </c>
      <c r="H47" s="575" t="str">
        <f>IFERROR((VLOOKUP(D47,INGREDIENTS!$AA$6:$AB$14,2,FALSE))*((1.65*(0.000125^($M$35-1))*((1-EXP(-0.04*E47))/4.15))*G47*C47*1000)/($M$36),"")</f>
        <v/>
      </c>
      <c r="I47" s="352"/>
      <c r="J47" s="1110"/>
      <c r="K47" s="920"/>
      <c r="L47" s="425" t="s">
        <v>1991</v>
      </c>
      <c r="M47" s="44">
        <v>10</v>
      </c>
      <c r="N47" s="260" t="s">
        <v>2391</v>
      </c>
      <c r="O47" s="46" t="s">
        <v>2352</v>
      </c>
      <c r="P47" s="558"/>
      <c r="Q47" s="352"/>
      <c r="R47" s="1127" t="s">
        <v>681</v>
      </c>
      <c r="S47" s="830"/>
      <c r="T47" s="445">
        <f>T46*T43</f>
        <v>0</v>
      </c>
    </row>
    <row r="48" spans="1:28" ht="14.45" customHeight="1">
      <c r="A48" s="885"/>
      <c r="B48" s="402"/>
      <c r="C48" s="139"/>
      <c r="D48" s="402"/>
      <c r="E48" s="138"/>
      <c r="F48" s="470"/>
      <c r="G48" s="574" t="str">
        <f>IFERROR(VLOOKUP(B48,INGREDIENTS!$R$6:$U$171,4,FALSE), "")</f>
        <v/>
      </c>
      <c r="H48" s="575" t="str">
        <f>IFERROR((VLOOKUP(D48,INGREDIENTS!$AA$6:$AB$14,2,FALSE))*((1.65*(0.000125^($M$35-1))*((1-EXP(-0.04*E48))/4.15))*G48*C48*1000)/($M$36),"")</f>
        <v/>
      </c>
      <c r="I48" s="352"/>
      <c r="J48" s="1110"/>
      <c r="K48" s="920"/>
      <c r="L48" s="425" t="s">
        <v>655</v>
      </c>
      <c r="M48" s="44">
        <v>10</v>
      </c>
      <c r="N48" s="684"/>
      <c r="O48" s="46" t="s">
        <v>2352</v>
      </c>
      <c r="P48" s="558"/>
      <c r="Q48" s="352"/>
      <c r="R48" s="1127" t="s">
        <v>1920</v>
      </c>
      <c r="S48" s="830"/>
      <c r="T48" s="446">
        <f>SUMPRODUCT(F10:F20,C10:C20)*70/1000/100</f>
        <v>3.4025249999999998</v>
      </c>
    </row>
    <row r="49" spans="1:28" ht="14.45" customHeight="1" thickBot="1">
      <c r="A49" s="885"/>
      <c r="B49" s="402"/>
      <c r="C49" s="139"/>
      <c r="D49" s="402"/>
      <c r="E49" s="138"/>
      <c r="F49" s="470"/>
      <c r="G49" s="574" t="str">
        <f>IFERROR(VLOOKUP(B49,INGREDIENTS!$R$6:$U$171,4,FALSE), "")</f>
        <v/>
      </c>
      <c r="H49" s="575" t="str">
        <f>IFERROR((VLOOKUP(D49,INGREDIENTS!$AA$6:$AB$14,2,FALSE))*((1.65*(0.000125^($M$35-1))*((1-EXP(-0.04*E49))/4.15))*G49*C49*1000)/($M$36),"")</f>
        <v/>
      </c>
      <c r="I49" s="352"/>
      <c r="J49" s="1110"/>
      <c r="K49" s="920"/>
      <c r="L49" s="425" t="s">
        <v>2333</v>
      </c>
      <c r="M49" s="44">
        <v>10</v>
      </c>
      <c r="N49" s="45" t="s">
        <v>2390</v>
      </c>
      <c r="O49" s="46"/>
      <c r="P49" s="558"/>
      <c r="Q49" s="352"/>
      <c r="R49" s="1127" t="s">
        <v>1921</v>
      </c>
      <c r="S49" s="830"/>
      <c r="T49" s="447">
        <f>T48/30+1</f>
        <v>1.1134174999999999</v>
      </c>
    </row>
    <row r="50" spans="1:28" ht="15" customHeight="1">
      <c r="A50" s="885"/>
      <c r="B50" s="402"/>
      <c r="C50" s="139"/>
      <c r="D50" s="402"/>
      <c r="E50" s="138"/>
      <c r="F50" s="470"/>
      <c r="G50" s="574" t="str">
        <f>IFERROR(VLOOKUP(B50,INGREDIENTS!$R$6:$U$171,4,FALSE), "")</f>
        <v/>
      </c>
      <c r="H50" s="575" t="str">
        <f>IFERROR((VLOOKUP(D50,INGREDIENTS!$AA$6:$AB$14,2,FALSE))*((1.65*(0.000125^($M$35-1))*((1-EXP(-0.04*E50))/4.15))*G50*C50*1000)/($M$36),"")</f>
        <v/>
      </c>
      <c r="I50" s="352"/>
      <c r="J50" s="1110"/>
      <c r="K50" s="920"/>
      <c r="L50" s="425" t="s">
        <v>1979</v>
      </c>
      <c r="M50" s="44">
        <v>10</v>
      </c>
      <c r="N50" s="45" t="s">
        <v>2389</v>
      </c>
      <c r="O50" s="683" t="s">
        <v>2388</v>
      </c>
      <c r="P50" s="558"/>
      <c r="Q50" s="352"/>
      <c r="R50" s="304"/>
      <c r="S50" s="384"/>
    </row>
    <row r="51" spans="1:28" ht="14.45" customHeight="1">
      <c r="A51" s="885"/>
      <c r="B51" s="402"/>
      <c r="C51" s="139"/>
      <c r="D51" s="402"/>
      <c r="E51" s="138"/>
      <c r="F51" s="470"/>
      <c r="G51" s="574" t="str">
        <f>IFERROR(VLOOKUP(B51,INGREDIENTS!$R$6:$U$171,4,FALSE), "")</f>
        <v/>
      </c>
      <c r="H51" s="575" t="str">
        <f>IFERROR((VLOOKUP(D51,INGREDIENTS!$AA$6:$AB$14,2,FALSE))*((1.65*(0.000125^($M$35-1))*((1-EXP(-0.04*E51))/4.15))*G51*C51*1000)/($M$36),"")</f>
        <v/>
      </c>
      <c r="I51" s="352"/>
      <c r="J51" s="1110"/>
      <c r="K51" s="920"/>
      <c r="L51" s="427"/>
      <c r="M51" s="424"/>
      <c r="N51" s="119"/>
      <c r="O51" s="429"/>
      <c r="P51" s="558"/>
      <c r="Q51" s="352"/>
      <c r="R51" s="681" t="s">
        <v>2371</v>
      </c>
      <c r="S51" s="384"/>
    </row>
    <row r="52" spans="1:28" ht="14.45" customHeight="1">
      <c r="A52" s="885"/>
      <c r="B52" s="402"/>
      <c r="C52" s="139"/>
      <c r="D52" s="402"/>
      <c r="E52" s="138"/>
      <c r="F52" s="470"/>
      <c r="G52" s="574" t="str">
        <f>IFERROR(VLOOKUP(B52,INGREDIENTS!$R$6:$U$171,4,FALSE), "")</f>
        <v/>
      </c>
      <c r="H52" s="575" t="str">
        <f>IFERROR((VLOOKUP(D52,INGREDIENTS!$AA$6:$AB$14,2,FALSE))*((1.65*(0.000125^($M$35-1))*((1-EXP(-0.04*E52))/4.15))*G52*C52*1000)/($M$36),"")</f>
        <v/>
      </c>
      <c r="I52" s="352"/>
      <c r="J52" s="1110"/>
      <c r="K52" s="920"/>
      <c r="L52" s="427"/>
      <c r="M52" s="424"/>
      <c r="N52" s="119" t="s">
        <v>623</v>
      </c>
      <c r="O52" s="120" t="s">
        <v>623</v>
      </c>
      <c r="P52" s="559"/>
      <c r="Q52" s="352"/>
      <c r="R52" t="s">
        <v>2381</v>
      </c>
    </row>
    <row r="53" spans="1:28" ht="14.45" customHeight="1" thickBot="1">
      <c r="A53" s="886"/>
      <c r="B53" s="402"/>
      <c r="C53" s="139"/>
      <c r="D53" s="137"/>
      <c r="E53" s="138"/>
      <c r="F53" s="470"/>
      <c r="G53" s="574" t="str">
        <f>IFERROR(VLOOKUP(B53,INGREDIENTS!$R$6:$U$171,4,FALSE), "")</f>
        <v/>
      </c>
      <c r="H53" s="575" t="str">
        <f>IFERROR((VLOOKUP(D53,INGREDIENTS!$AA$6:$AB$14,2,FALSE))*((1.65*(0.000125^($M$35-1))*((1-EXP(-0.04*E53))/4.15))*G53*C53*1000)/($M$36),"")</f>
        <v/>
      </c>
      <c r="I53" s="352"/>
      <c r="J53" s="1111"/>
      <c r="K53" s="1112"/>
      <c r="L53" s="560"/>
      <c r="M53" s="561"/>
      <c r="N53" s="562"/>
      <c r="O53" s="563" t="s">
        <v>623</v>
      </c>
      <c r="P53" s="564"/>
      <c r="Q53" s="352"/>
      <c r="R53" s="384" t="s">
        <v>2372</v>
      </c>
      <c r="AB53" s="405"/>
    </row>
    <row r="54" spans="1:28" ht="14.45" customHeight="1" thickBot="1">
      <c r="A54" s="160"/>
      <c r="B54" s="161" t="s">
        <v>656</v>
      </c>
      <c r="C54" s="164">
        <f>SUM(C38:C44)</f>
        <v>79</v>
      </c>
      <c r="D54" s="162"/>
      <c r="E54" s="163" t="s">
        <v>2081</v>
      </c>
      <c r="F54" s="522" cm="1">
        <f t="array" ref="F54">SUMPRODUCT(((D38:D53="DH")+(D38:D53="DDH")+(D38:D53="BioDH"))*C38:C53)/B4</f>
        <v>0</v>
      </c>
      <c r="G54" s="464"/>
      <c r="H54" s="165">
        <f>SUM(H38:H53)</f>
        <v>21.111033655545601</v>
      </c>
      <c r="I54" s="352"/>
      <c r="J54" s="725" t="s">
        <v>714</v>
      </c>
      <c r="K54" s="362"/>
      <c r="L54" s="418" t="s">
        <v>2577</v>
      </c>
      <c r="N54" s="352"/>
      <c r="O54" s="352"/>
      <c r="P54" s="352"/>
      <c r="Q54" s="352"/>
      <c r="AB54" s="404"/>
    </row>
    <row r="55" spans="1:28" ht="14.45" customHeight="1" thickBot="1">
      <c r="A55" s="725" t="s">
        <v>2571</v>
      </c>
      <c r="B55" s="352"/>
      <c r="C55" s="352"/>
      <c r="D55" s="352"/>
      <c r="E55" s="352"/>
      <c r="F55" s="352"/>
      <c r="G55" s="352"/>
      <c r="H55" s="352"/>
      <c r="I55" s="352"/>
      <c r="J55" s="352"/>
      <c r="K55" s="352"/>
      <c r="L55" s="418" t="s">
        <v>2576</v>
      </c>
      <c r="M55" s="352"/>
      <c r="N55" s="352"/>
      <c r="O55" s="352"/>
      <c r="P55" s="352"/>
      <c r="Q55" s="352"/>
      <c r="R55" s="679" t="s">
        <v>2358</v>
      </c>
      <c r="AB55" s="405"/>
    </row>
    <row r="56" spans="1:28" ht="14.45" customHeight="1" thickBot="1">
      <c r="A56" s="352"/>
      <c r="B56" s="352"/>
      <c r="C56" s="352"/>
      <c r="D56" s="352"/>
      <c r="E56" s="352"/>
      <c r="F56" s="352"/>
      <c r="G56" s="352"/>
      <c r="H56" s="352"/>
      <c r="I56" s="352"/>
      <c r="J56" s="1084" t="s">
        <v>655</v>
      </c>
      <c r="K56" s="1085"/>
      <c r="L56" s="550"/>
      <c r="M56" s="551" t="s">
        <v>737</v>
      </c>
      <c r="N56" s="1088" t="s">
        <v>630</v>
      </c>
      <c r="O56" s="1089"/>
      <c r="P56" s="1090"/>
      <c r="Q56" s="352"/>
      <c r="R56" t="s">
        <v>2354</v>
      </c>
      <c r="AB56" s="406"/>
    </row>
    <row r="57" spans="1:28" ht="14.45" customHeight="1">
      <c r="A57" s="1098" t="s">
        <v>657</v>
      </c>
      <c r="B57" s="454" t="s">
        <v>2073</v>
      </c>
      <c r="C57" s="455" t="s">
        <v>752</v>
      </c>
      <c r="D57" s="454" t="s">
        <v>2075</v>
      </c>
      <c r="E57" s="454" t="s">
        <v>69</v>
      </c>
      <c r="F57" s="454" t="s">
        <v>70</v>
      </c>
      <c r="G57" s="520" t="s">
        <v>658</v>
      </c>
      <c r="H57" s="456"/>
      <c r="I57" s="352"/>
      <c r="J57" s="1086"/>
      <c r="K57" s="1087"/>
      <c r="L57" s="594" t="s">
        <v>603</v>
      </c>
      <c r="M57" s="538">
        <v>20</v>
      </c>
      <c r="N57" s="1144"/>
      <c r="O57" s="1145"/>
      <c r="P57" s="1146"/>
      <c r="Q57" s="352"/>
      <c r="R57" t="s">
        <v>2367</v>
      </c>
      <c r="AB57" s="405"/>
    </row>
    <row r="58" spans="1:28" ht="14.45" customHeight="1">
      <c r="A58" s="1099"/>
      <c r="B58" s="350" t="s">
        <v>1257</v>
      </c>
      <c r="C58" s="293">
        <v>1</v>
      </c>
      <c r="D58" s="240">
        <v>20</v>
      </c>
      <c r="E58" s="240">
        <f>IFERROR(VLOOKUP(B58,INGREDIENTS!$AF$6:$AT$401,7,FALSE),"")</f>
        <v>20</v>
      </c>
      <c r="F58" s="240">
        <f>IFERROR(VLOOKUP(B58,INGREDIENTS!$AF$6:$AT$401,8,FALSE),"")</f>
        <v>23.888888888888889</v>
      </c>
      <c r="G58" s="414">
        <f>IFERROR(VLOOKUP(B58,INGREDIENTS!$AF$6:$AT$401,6,FALSE),"")</f>
        <v>0.755</v>
      </c>
      <c r="H58" s="457"/>
      <c r="I58" s="352"/>
      <c r="J58" s="1086"/>
      <c r="K58" s="1087"/>
      <c r="L58" s="595" t="s">
        <v>606</v>
      </c>
      <c r="M58" s="548">
        <f>1+(H26-1)*(1-G58)</f>
        <v>1.0199459161014213</v>
      </c>
      <c r="N58" s="975">
        <v>1.0089999999999999</v>
      </c>
      <c r="O58" s="1093"/>
      <c r="P58" s="1094"/>
      <c r="Q58" s="352"/>
      <c r="R58" t="s">
        <v>2355</v>
      </c>
    </row>
    <row r="59" spans="1:28" ht="15" customHeight="1" thickBot="1">
      <c r="A59" s="585"/>
      <c r="B59" s="350"/>
      <c r="C59" s="293"/>
      <c r="D59" s="240"/>
      <c r="E59" s="240" t="str">
        <f>IFERROR(VLOOKUP(B59,INGREDIENTS!$AF$6:$AT$401,7,FALSE),"")</f>
        <v/>
      </c>
      <c r="F59" s="240" t="str">
        <f>IFERROR(VLOOKUP(B59,INGREDIENTS!$AF$6:$AT$401,8,FALSE),"")</f>
        <v/>
      </c>
      <c r="G59" s="414" t="str">
        <f>IFERROR(VLOOKUP(B59,INGREDIENTS!$AF$6:$AT$401,6,FALSE),"")</f>
        <v/>
      </c>
      <c r="H59" s="457"/>
      <c r="I59" s="352"/>
      <c r="J59" s="1086"/>
      <c r="K59" s="1087"/>
      <c r="L59" s="596" t="s">
        <v>653</v>
      </c>
      <c r="M59" s="573">
        <f>G58</f>
        <v>0.755</v>
      </c>
      <c r="N59" s="1095">
        <f>(N35-M58)/(N35-1)</f>
        <v>1.0199459161014213</v>
      </c>
      <c r="O59" s="1096"/>
      <c r="P59" s="1097"/>
      <c r="Q59" s="352"/>
      <c r="S59" s="384" t="s">
        <v>2356</v>
      </c>
    </row>
    <row r="60" spans="1:28" ht="15" customHeight="1" thickBot="1">
      <c r="A60" s="585"/>
      <c r="B60" s="350"/>
      <c r="C60" s="293"/>
      <c r="D60" s="240"/>
      <c r="E60" s="240" t="str">
        <f>IFERROR(VLOOKUP(B60,INGREDIENTS!$AF$6:$AT$401,7,FALSE),"")</f>
        <v/>
      </c>
      <c r="F60" s="240" t="str">
        <f>IFERROR(VLOOKUP(B60,INGREDIENTS!$AF$6:$AT$401,8,FALSE),"")</f>
        <v/>
      </c>
      <c r="G60" s="414" t="str">
        <f>IFERROR(VLOOKUP(B60,INGREDIENTS!$AF$6:$AT$401,6,FALSE),"")</f>
        <v/>
      </c>
      <c r="H60" s="457"/>
      <c r="I60" s="352"/>
      <c r="J60" s="1086"/>
      <c r="K60" s="1087"/>
      <c r="L60" s="594" t="s">
        <v>659</v>
      </c>
      <c r="M60" s="549">
        <f>(76.08*(M35-M58)/(1.775-M35))*(M58/0.794)</f>
        <v>7.5359435792742362</v>
      </c>
      <c r="N60" s="1100">
        <f>(76.08*(N35-N58)/(1.775-N35))*(N58/0.794)</f>
        <v>-54.958386830808514</v>
      </c>
      <c r="O60" s="1101"/>
      <c r="P60" s="1102"/>
      <c r="S60" s="384" t="s">
        <v>2357</v>
      </c>
    </row>
    <row r="61" spans="1:28" ht="19.5" thickBot="1">
      <c r="A61" s="586"/>
      <c r="B61" s="676"/>
      <c r="C61" s="459"/>
      <c r="D61" s="460"/>
      <c r="E61" s="460" t="str">
        <f>IFERROR(VLOOKUP(B61,INGREDIENTS!$AF$6:$AT$401,7,FALSE),"")</f>
        <v/>
      </c>
      <c r="F61" s="460" t="str">
        <f>IFERROR(VLOOKUP(B61,INGREDIENTS!$AF$6:$AT$401,8,FALSE),"")</f>
        <v/>
      </c>
      <c r="G61" s="461" t="str">
        <f>IFERROR(VLOOKUP(B61,INGREDIENTS!$AF$6:$AT$401,6,FALSE),"")</f>
        <v/>
      </c>
      <c r="H61" s="462"/>
      <c r="I61" s="352"/>
      <c r="J61" s="1086"/>
      <c r="K61" s="1087"/>
      <c r="L61" s="1103" t="s">
        <v>2082</v>
      </c>
      <c r="M61" s="1104"/>
      <c r="N61" s="1105">
        <v>2.5</v>
      </c>
      <c r="O61" s="1105"/>
      <c r="P61" s="1106"/>
      <c r="R61" s="384"/>
    </row>
    <row r="62" spans="1:28">
      <c r="A62" s="725" t="s">
        <v>2571</v>
      </c>
      <c r="B62" s="352"/>
      <c r="C62" s="352"/>
      <c r="D62" s="352"/>
      <c r="E62" s="352"/>
      <c r="F62" s="352"/>
      <c r="G62" s="352"/>
      <c r="H62" s="352"/>
      <c r="I62" s="352"/>
      <c r="J62" s="1086"/>
      <c r="K62" s="1087"/>
      <c r="L62" s="958" t="s">
        <v>661</v>
      </c>
      <c r="M62" s="1107"/>
      <c r="N62" s="1113" t="s">
        <v>662</v>
      </c>
      <c r="O62" s="1114"/>
      <c r="P62" s="607" t="s">
        <v>721</v>
      </c>
      <c r="R62" s="679" t="s">
        <v>2359</v>
      </c>
      <c r="S62" s="225"/>
    </row>
    <row r="63" spans="1:28" ht="15.75" thickBot="1">
      <c r="A63" s="352"/>
      <c r="B63" s="352"/>
      <c r="C63" s="352"/>
      <c r="D63" s="352"/>
      <c r="E63" s="352"/>
      <c r="F63" s="352"/>
      <c r="G63" s="352"/>
      <c r="H63" s="352"/>
      <c r="I63" s="352"/>
      <c r="J63" s="1086"/>
      <c r="K63" s="963"/>
      <c r="L63" s="1117">
        <f>N61*3.941-2.804</f>
        <v>7.0484999999999989</v>
      </c>
      <c r="M63" s="1118"/>
      <c r="N63" s="1119">
        <f>L63*M57</f>
        <v>140.96999999999997</v>
      </c>
      <c r="O63" s="1120"/>
      <c r="P63" s="608">
        <v>1</v>
      </c>
      <c r="R63" s="384" t="s">
        <v>2360</v>
      </c>
    </row>
    <row r="64" spans="1:28">
      <c r="A64" s="352"/>
      <c r="B64" s="352"/>
      <c r="C64" s="352"/>
      <c r="D64" s="352"/>
      <c r="E64" s="352"/>
      <c r="F64" s="352"/>
      <c r="G64" s="352"/>
      <c r="H64" s="352"/>
      <c r="I64" s="352"/>
      <c r="J64" s="1086"/>
      <c r="K64" s="963"/>
      <c r="L64" s="1121" t="s">
        <v>722</v>
      </c>
      <c r="M64" s="1122"/>
      <c r="N64" s="1123"/>
      <c r="O64" s="569" t="s">
        <v>2078</v>
      </c>
      <c r="P64" s="577">
        <f>L63*0.75*1000/(N63/P63)</f>
        <v>37.500000000000007</v>
      </c>
      <c r="S64" s="680" t="s">
        <v>2361</v>
      </c>
    </row>
    <row r="65" spans="1:25" ht="15.75" thickBot="1">
      <c r="A65" s="352"/>
      <c r="H65" s="401"/>
      <c r="I65" s="352"/>
      <c r="J65" s="1115"/>
      <c r="K65" s="1116"/>
      <c r="L65" s="1124"/>
      <c r="M65" s="1125"/>
      <c r="N65" s="1126"/>
      <c r="O65" s="578" t="s">
        <v>2079</v>
      </c>
      <c r="P65" s="579">
        <f>L63*0.33*1000/(N63/P63)</f>
        <v>16.5</v>
      </c>
      <c r="S65" s="680" t="s">
        <v>2362</v>
      </c>
      <c r="T65" t="s">
        <v>2366</v>
      </c>
    </row>
    <row r="66" spans="1:25">
      <c r="A66" s="352"/>
      <c r="H66" s="401"/>
      <c r="I66" s="352"/>
      <c r="J66" s="725" t="s">
        <v>714</v>
      </c>
      <c r="K66" s="352"/>
      <c r="L66" s="418" t="s">
        <v>2549</v>
      </c>
      <c r="M66" s="352"/>
      <c r="N66" s="352"/>
      <c r="O66" s="352"/>
      <c r="P66" s="352"/>
      <c r="R66" s="384" t="s">
        <v>2363</v>
      </c>
      <c r="S66" s="227"/>
    </row>
    <row r="67" spans="1:25">
      <c r="A67" s="352"/>
      <c r="H67" s="401"/>
      <c r="I67" s="352"/>
      <c r="J67" s="352"/>
      <c r="K67" s="352"/>
      <c r="L67" s="352"/>
      <c r="M67" s="352"/>
      <c r="N67" s="352"/>
      <c r="O67" s="352"/>
      <c r="P67" s="352"/>
      <c r="R67" s="384" t="s">
        <v>2364</v>
      </c>
      <c r="S67" s="225"/>
    </row>
    <row r="68" spans="1:25">
      <c r="A68" s="352"/>
      <c r="H68" s="401"/>
      <c r="I68" s="352"/>
      <c r="J68" s="352"/>
      <c r="K68" s="352"/>
      <c r="L68" s="352"/>
      <c r="M68" s="352"/>
      <c r="N68" s="352"/>
      <c r="O68" s="352"/>
      <c r="P68" s="352"/>
      <c r="R68" s="680"/>
      <c r="S68" s="680" t="s">
        <v>2365</v>
      </c>
      <c r="V68" s="18"/>
    </row>
    <row r="69" spans="1:25" ht="18">
      <c r="A69" s="352"/>
      <c r="H69" s="727"/>
      <c r="I69" s="352"/>
      <c r="J69" s="726" t="s">
        <v>2325</v>
      </c>
      <c r="K69" s="352"/>
      <c r="L69" s="352"/>
      <c r="M69" s="352"/>
      <c r="N69" s="352"/>
      <c r="O69" s="352"/>
      <c r="P69" s="352"/>
      <c r="Q69" s="352"/>
      <c r="R69" s="677"/>
    </row>
    <row r="70" spans="1:25">
      <c r="H70" s="222"/>
      <c r="J70" s="726" t="s">
        <v>2326</v>
      </c>
      <c r="K70" s="352"/>
      <c r="L70" s="352"/>
      <c r="M70" s="352"/>
      <c r="N70" s="352"/>
      <c r="O70" s="352"/>
      <c r="R70" t="s">
        <v>2396</v>
      </c>
      <c r="S70" s="226"/>
      <c r="V70" s="16"/>
    </row>
    <row r="71" spans="1:25">
      <c r="H71" s="220"/>
      <c r="J71" s="726" t="s">
        <v>2327</v>
      </c>
      <c r="K71" s="352"/>
      <c r="L71" s="352"/>
      <c r="M71" s="352"/>
      <c r="N71" s="352"/>
      <c r="O71" s="352"/>
      <c r="S71" s="384" t="s">
        <v>2373</v>
      </c>
      <c r="X71" t="s">
        <v>2376</v>
      </c>
    </row>
    <row r="72" spans="1:25" ht="15" customHeight="1">
      <c r="J72" s="726" t="s">
        <v>2328</v>
      </c>
      <c r="K72" s="352"/>
      <c r="L72" s="352"/>
      <c r="M72" s="352"/>
      <c r="N72" s="352"/>
      <c r="O72" s="352"/>
      <c r="S72" s="384" t="s">
        <v>2374</v>
      </c>
      <c r="X72" s="384"/>
      <c r="Y72" s="384" t="s">
        <v>2377</v>
      </c>
    </row>
    <row r="73" spans="1:25" ht="15" customHeight="1">
      <c r="H73" s="677"/>
      <c r="J73" s="726" t="s">
        <v>2329</v>
      </c>
      <c r="K73" s="352"/>
      <c r="L73" s="352"/>
      <c r="M73" s="352"/>
      <c r="N73" s="352"/>
      <c r="O73" s="352"/>
      <c r="S73" s="384" t="s">
        <v>2375</v>
      </c>
      <c r="Y73" s="384" t="s">
        <v>2378</v>
      </c>
    </row>
    <row r="74" spans="1:25" ht="15" customHeight="1">
      <c r="H74" s="677"/>
      <c r="J74" s="674" t="s">
        <v>2330</v>
      </c>
      <c r="X74" t="s">
        <v>2379</v>
      </c>
    </row>
    <row r="75" spans="1:25" ht="15" customHeight="1">
      <c r="H75" s="677"/>
      <c r="J75" s="674" t="s">
        <v>2331</v>
      </c>
      <c r="X75" t="s">
        <v>2380</v>
      </c>
    </row>
    <row r="76" spans="1:25" ht="15" customHeight="1">
      <c r="H76" s="677"/>
      <c r="R76" s="679" t="s">
        <v>2368</v>
      </c>
    </row>
    <row r="77" spans="1:25" ht="18">
      <c r="H77" s="677"/>
      <c r="J77" s="1147" t="s">
        <v>2349</v>
      </c>
      <c r="K77" s="1147"/>
      <c r="L77" s="1147"/>
      <c r="M77" s="1147"/>
      <c r="N77" s="1147"/>
      <c r="O77" s="1147"/>
      <c r="R77" s="384" t="s">
        <v>2369</v>
      </c>
      <c r="S77" s="384"/>
    </row>
    <row r="78" spans="1:25">
      <c r="J78" s="1147"/>
      <c r="K78" s="1147"/>
      <c r="L78" s="1147"/>
      <c r="M78" s="1147"/>
      <c r="N78" s="1147"/>
      <c r="O78" s="1147"/>
      <c r="R78" s="384" t="s">
        <v>2370</v>
      </c>
    </row>
    <row r="79" spans="1:25">
      <c r="J79" s="1147"/>
      <c r="K79" s="1147"/>
      <c r="L79" s="1147"/>
      <c r="M79" s="1147"/>
      <c r="N79" s="1147"/>
      <c r="O79" s="1147"/>
      <c r="V79" s="18"/>
    </row>
    <row r="80" spans="1:25">
      <c r="J80" s="1147"/>
      <c r="K80" s="1147"/>
      <c r="L80" s="1147"/>
      <c r="M80" s="1147"/>
      <c r="N80" s="1147"/>
      <c r="O80" s="1147"/>
      <c r="R80" s="679" t="s">
        <v>2395</v>
      </c>
      <c r="T80" s="226"/>
    </row>
    <row r="81" spans="10:22">
      <c r="J81" s="1147"/>
      <c r="K81" s="1147"/>
      <c r="L81" s="1147"/>
      <c r="M81" s="1147"/>
      <c r="N81" s="1147"/>
      <c r="O81" s="1147"/>
      <c r="R81" t="s">
        <v>2382</v>
      </c>
      <c r="V81" s="18"/>
    </row>
    <row r="82" spans="10:22">
      <c r="J82" s="1147"/>
      <c r="K82" s="1147"/>
      <c r="L82" s="1147"/>
      <c r="M82" s="1147"/>
      <c r="N82" s="1147"/>
      <c r="O82" s="1147"/>
      <c r="R82" t="s">
        <v>2383</v>
      </c>
    </row>
    <row r="83" spans="10:22">
      <c r="J83" s="1147"/>
      <c r="K83" s="1147"/>
      <c r="L83" s="1147"/>
      <c r="M83" s="1147"/>
      <c r="N83" s="1147"/>
      <c r="O83" s="1147"/>
      <c r="R83" t="s">
        <v>2384</v>
      </c>
    </row>
    <row r="84" spans="10:22">
      <c r="J84" s="1147"/>
      <c r="K84" s="1147"/>
      <c r="L84" s="1147"/>
      <c r="M84" s="1147"/>
      <c r="N84" s="1147"/>
      <c r="O84" s="1147"/>
      <c r="R84" t="s">
        <v>2385</v>
      </c>
    </row>
    <row r="85" spans="10:22">
      <c r="J85" s="1147"/>
      <c r="K85" s="1147"/>
      <c r="L85" s="1147"/>
      <c r="M85" s="1147"/>
      <c r="N85" s="1147"/>
      <c r="O85" s="1147"/>
      <c r="R85" t="s">
        <v>2386</v>
      </c>
      <c r="S85" s="384"/>
    </row>
    <row r="86" spans="10:22">
      <c r="J86" s="1147"/>
      <c r="K86" s="1147"/>
      <c r="L86" s="1147"/>
      <c r="M86" s="1147"/>
      <c r="N86" s="1147"/>
      <c r="O86" s="1147"/>
    </row>
    <row r="87" spans="10:22" ht="18.75">
      <c r="J87" s="1147"/>
      <c r="K87" s="1147"/>
      <c r="L87" s="1147"/>
      <c r="M87" s="1147"/>
      <c r="N87" s="1147"/>
      <c r="O87" s="1147"/>
      <c r="R87" s="682" t="s">
        <v>2387</v>
      </c>
    </row>
  </sheetData>
  <mergeCells count="111">
    <mergeCell ref="J77:O87"/>
    <mergeCell ref="A1:H1"/>
    <mergeCell ref="J1:P1"/>
    <mergeCell ref="B2:H2"/>
    <mergeCell ref="J2:P2"/>
    <mergeCell ref="C3:H3"/>
    <mergeCell ref="J3:K7"/>
    <mergeCell ref="L3:N3"/>
    <mergeCell ref="G7:H7"/>
    <mergeCell ref="M5:N5"/>
    <mergeCell ref="M8:N8"/>
    <mergeCell ref="M9:N9"/>
    <mergeCell ref="M7:N7"/>
    <mergeCell ref="M6:N6"/>
    <mergeCell ref="M13:N13"/>
    <mergeCell ref="J16:K20"/>
    <mergeCell ref="N16:P16"/>
    <mergeCell ref="N17:P17"/>
    <mergeCell ref="N18:P18"/>
    <mergeCell ref="A9:A17"/>
    <mergeCell ref="A29:A32"/>
    <mergeCell ref="C29:G29"/>
    <mergeCell ref="M31:N31"/>
    <mergeCell ref="O31:P31"/>
    <mergeCell ref="Z3:Z4"/>
    <mergeCell ref="D4:E4"/>
    <mergeCell ref="G4:H4"/>
    <mergeCell ref="D5:E5"/>
    <mergeCell ref="G5:H5"/>
    <mergeCell ref="L5:L9"/>
    <mergeCell ref="D6:E6"/>
    <mergeCell ref="G6:H6"/>
    <mergeCell ref="D7:E7"/>
    <mergeCell ref="R3:R4"/>
    <mergeCell ref="R7:R13"/>
    <mergeCell ref="T7:V7"/>
    <mergeCell ref="J12:K13"/>
    <mergeCell ref="L12:L13"/>
    <mergeCell ref="M12:N12"/>
    <mergeCell ref="O12:O13"/>
    <mergeCell ref="P12:P13"/>
    <mergeCell ref="R16:T16"/>
    <mergeCell ref="L19:L20"/>
    <mergeCell ref="M19:M20"/>
    <mergeCell ref="N19:P20"/>
    <mergeCell ref="A18:A20"/>
    <mergeCell ref="J23:K27"/>
    <mergeCell ref="N23:P23"/>
    <mergeCell ref="R20:U20"/>
    <mergeCell ref="A21:A23"/>
    <mergeCell ref="A24:A26"/>
    <mergeCell ref="E24:F24"/>
    <mergeCell ref="U26:U27"/>
    <mergeCell ref="N24:P24"/>
    <mergeCell ref="R21:S21"/>
    <mergeCell ref="N25:P25"/>
    <mergeCell ref="R22:S22"/>
    <mergeCell ref="N26:P26"/>
    <mergeCell ref="J28:K31"/>
    <mergeCell ref="M28:N28"/>
    <mergeCell ref="O28:P28"/>
    <mergeCell ref="R30:U30"/>
    <mergeCell ref="R23:S23"/>
    <mergeCell ref="R24:S24"/>
    <mergeCell ref="R25:S25"/>
    <mergeCell ref="R26:S27"/>
    <mergeCell ref="R28:S28"/>
    <mergeCell ref="T26:T27"/>
    <mergeCell ref="W30:AA30"/>
    <mergeCell ref="N35:P35"/>
    <mergeCell ref="N36:P36"/>
    <mergeCell ref="R32:S32"/>
    <mergeCell ref="N37:P37"/>
    <mergeCell ref="R33:S33"/>
    <mergeCell ref="M29:N29"/>
    <mergeCell ref="O29:P29"/>
    <mergeCell ref="M30:N30"/>
    <mergeCell ref="O30:P30"/>
    <mergeCell ref="R34:S34"/>
    <mergeCell ref="N34:P34"/>
    <mergeCell ref="R35:S35"/>
    <mergeCell ref="R36:S36"/>
    <mergeCell ref="A57:A58"/>
    <mergeCell ref="N60:P60"/>
    <mergeCell ref="L61:M61"/>
    <mergeCell ref="N61:P61"/>
    <mergeCell ref="L62:M62"/>
    <mergeCell ref="R44:S44"/>
    <mergeCell ref="R45:S45"/>
    <mergeCell ref="R46:S46"/>
    <mergeCell ref="R47:S47"/>
    <mergeCell ref="R48:S48"/>
    <mergeCell ref="R49:S49"/>
    <mergeCell ref="N62:O62"/>
    <mergeCell ref="A37:A53"/>
    <mergeCell ref="J40:K53"/>
    <mergeCell ref="R37:S37"/>
    <mergeCell ref="R38:S39"/>
    <mergeCell ref="R41:T41"/>
    <mergeCell ref="R42:S42"/>
    <mergeCell ref="R43:S43"/>
    <mergeCell ref="J34:K37"/>
    <mergeCell ref="J63:K65"/>
    <mergeCell ref="L63:M63"/>
    <mergeCell ref="N63:O63"/>
    <mergeCell ref="L64:N65"/>
    <mergeCell ref="J56:K62"/>
    <mergeCell ref="N56:P56"/>
    <mergeCell ref="N57:P57"/>
    <mergeCell ref="N58:P58"/>
    <mergeCell ref="N59:P59"/>
  </mergeCells>
  <phoneticPr fontId="30" type="noConversion"/>
  <conditionalFormatting sqref="G6">
    <cfRule type="colorScale" priority="3">
      <colorScale>
        <cfvo type="num" val="0"/>
        <cfvo type="num" val="0.55000000000000004"/>
        <cfvo type="num" val="1"/>
        <color theme="7"/>
        <color rgb="FFFCFCFF"/>
        <color rgb="FF63BE7B"/>
      </colorScale>
    </cfRule>
  </conditionalFormatting>
  <conditionalFormatting sqref="G7">
    <cfRule type="colorScale" priority="2">
      <colorScale>
        <cfvo type="num" val="0"/>
        <cfvo type="num" val="6"/>
        <cfvo type="num" val="11"/>
        <color theme="7"/>
        <color rgb="FFFCFCFF"/>
        <color rgb="FF63BE7B"/>
      </colorScale>
    </cfRule>
  </conditionalFormatting>
  <conditionalFormatting sqref="G4:H4">
    <cfRule type="iconSet" priority="1">
      <iconSet iconSet="5Rating">
        <cfvo type="percent" val="0"/>
        <cfvo type="num" val="3"/>
        <cfvo type="num" val="5"/>
        <cfvo type="num" val="7"/>
        <cfvo type="num" val="9"/>
      </iconSet>
    </cfRule>
  </conditionalFormatting>
  <dataValidations count="1">
    <dataValidation type="list" allowBlank="1" showInputMessage="1" showErrorMessage="1" sqref="T45" xr:uid="{9DF77483-4EB0-483A-8D4B-B98EA232719B}">
      <formula1>"Sucre,DMS,LMS,Eau"</formula1>
    </dataValidation>
  </dataValidations>
  <hyperlinks>
    <hyperlink ref="R17" r:id="rId1" xr:uid="{BF084BFB-AA95-4E45-8E5F-6AC99028A855}"/>
    <hyperlink ref="R18" r:id="rId2" xr:uid="{096CA484-5D7B-478A-A48B-47F9998CE225}"/>
  </hyperlinks>
  <pageMargins left="0.7" right="0.7" top="0.75" bottom="0.75" header="0.3" footer="0.3"/>
  <pageSetup paperSize="9" orientation="portrait" r:id="rId3"/>
  <drawing r:id="rId4"/>
  <legacyDrawing r:id="rId5"/>
  <extLst>
    <ext xmlns:x14="http://schemas.microsoft.com/office/spreadsheetml/2009/9/main" uri="{CCE6A557-97BC-4b89-ADB6-D9C93CAAB3DF}">
      <x14:dataValidations xmlns:xm="http://schemas.microsoft.com/office/excel/2006/main" count="9">
        <x14:dataValidation type="list" allowBlank="1" showInputMessage="1" showErrorMessage="1" xr:uid="{C8735A38-922B-471C-8297-FB6EB861E31B}">
          <x14:formula1>
            <xm:f>STYLES!$B$7:$B$130</xm:f>
          </x14:formula1>
          <xm:sqref>T7:V7</xm:sqref>
        </x14:dataValidation>
        <x14:dataValidation type="list" allowBlank="1" showInputMessage="1" showErrorMessage="1" xr:uid="{856572C9-E481-4132-8D1A-1D84DF50E21B}">
          <x14:formula1>
            <xm:f>INGREDIENTS!$AA$6:$AA$14</xm:f>
          </x14:formula1>
          <xm:sqref>D38:D53</xm:sqref>
        </x14:dataValidation>
        <x14:dataValidation type="list" allowBlank="1" showInputMessage="1" showErrorMessage="1" xr:uid="{05A1AE42-57CF-4619-80F5-14C9F3966249}">
          <x14:formula1>
            <xm:f>INGREDIENTS!$AF$6:$AF$401</xm:f>
          </x14:formula1>
          <xm:sqref>B58:B61</xm:sqref>
        </x14:dataValidation>
        <x14:dataValidation type="list" allowBlank="1" showInputMessage="1" showErrorMessage="1" xr:uid="{4DCD2D6A-BDA8-46A3-852D-024AC963793C}">
          <x14:formula1>
            <xm:f>INGREDIENTS!$R$6:$R$171</xm:f>
          </x14:formula1>
          <xm:sqref>B38:B53</xm:sqref>
        </x14:dataValidation>
        <x14:dataValidation type="list" allowBlank="1" showInputMessage="1" showErrorMessage="1" xr:uid="{3202024F-B8A2-43F5-84E4-80D73DA61D9C}">
          <x14:formula1>
            <xm:f>STYLES!$B$7:$B$96</xm:f>
          </x14:formula1>
          <xm:sqref>B3</xm:sqref>
        </x14:dataValidation>
        <x14:dataValidation type="list" allowBlank="1" showInputMessage="1" showErrorMessage="1" xr:uid="{94B23FA4-506E-4C9D-88FD-CEFFB16F951B}">
          <x14:formula1>
            <xm:f>INGREDIENTS!$CK$5:$CK$26</xm:f>
          </x14:formula1>
          <xm:sqref>L41:L53</xm:sqref>
        </x14:dataValidation>
        <x14:dataValidation type="list" allowBlank="1" showInputMessage="1" showErrorMessage="1" xr:uid="{4681087E-2693-407B-A47D-3F416EF0F28C}">
          <x14:formula1>
            <xm:f>INGREDIENTS!$AV$6:$AV$27</xm:f>
          </x14:formula1>
          <xm:sqref>B30:B34</xm:sqref>
        </x14:dataValidation>
        <x14:dataValidation type="list" allowBlank="1" showInputMessage="1" showErrorMessage="1" xr:uid="{14249CED-F638-4EA3-A9DA-91FBEDB26144}">
          <x14:formula1>
            <xm:f>INGREDIENTS!$I$6:$I$35</xm:f>
          </x14:formula1>
          <xm:sqref>B21:B23</xm:sqref>
        </x14:dataValidation>
        <x14:dataValidation type="list" allowBlank="1" showInputMessage="1" showErrorMessage="1" xr:uid="{C2000772-3CFC-4FEE-9DEC-1F8D7EBCDDA7}">
          <x14:formula1>
            <xm:f>INGREDIENTS!$A$6:$A$109</xm:f>
          </x14:formula1>
          <xm:sqref>B10:B20</xm:sqref>
        </x14:dataValidation>
      </x14:dataValidations>
    </ext>
  </extLst>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E2AA2C-33DA-4ADB-BE55-61FBC9D866DC}">
  <dimension ref="A1:AC87"/>
  <sheetViews>
    <sheetView zoomScale="90" zoomScaleNormal="90" workbookViewId="0">
      <selection activeCell="AA7" sqref="AA7"/>
    </sheetView>
  </sheetViews>
  <sheetFormatPr baseColWidth="10" defaultColWidth="8.7109375" defaultRowHeight="15"/>
  <cols>
    <col min="1" max="1" width="10.5703125" bestFit="1" customWidth="1"/>
    <col min="2" max="2" width="18" bestFit="1" customWidth="1"/>
    <col min="3" max="3" width="10.5703125" bestFit="1" customWidth="1"/>
    <col min="4" max="4" width="8.85546875" bestFit="1" customWidth="1"/>
    <col min="5" max="5" width="9" customWidth="1"/>
    <col min="8" max="8" width="10.5703125" customWidth="1"/>
    <col min="9" max="9" width="2.85546875" customWidth="1"/>
    <col min="10" max="10" width="11.42578125" customWidth="1"/>
    <col min="12" max="12" width="16.42578125" customWidth="1"/>
    <col min="13" max="13" width="9.5703125" customWidth="1"/>
    <col min="15" max="15" width="10.140625" bestFit="1" customWidth="1"/>
    <col min="16" max="16" width="9.28515625" customWidth="1"/>
    <col min="18" max="18" width="10.42578125" customWidth="1"/>
    <col min="19" max="19" width="10.42578125" bestFit="1" customWidth="1"/>
    <col min="20" max="20" width="14" bestFit="1" customWidth="1"/>
    <col min="21" max="21" width="11.5703125" bestFit="1" customWidth="1"/>
    <col min="22" max="22" width="13.42578125" customWidth="1"/>
    <col min="23" max="23" width="11.42578125" bestFit="1" customWidth="1"/>
    <col min="24" max="24" width="9.5703125" customWidth="1"/>
    <col min="25" max="25" width="11.85546875" bestFit="1" customWidth="1"/>
    <col min="26" max="26" width="11.5703125" customWidth="1"/>
    <col min="27" max="27" width="10.28515625" customWidth="1"/>
  </cols>
  <sheetData>
    <row r="1" spans="1:29" ht="30.75" thickBot="1">
      <c r="A1" s="758" t="s">
        <v>2430</v>
      </c>
      <c r="B1" s="759"/>
      <c r="C1" s="759"/>
      <c r="D1" s="759"/>
      <c r="E1" s="759"/>
      <c r="F1" s="759"/>
      <c r="G1" s="759"/>
      <c r="H1" s="760"/>
      <c r="I1" s="353"/>
      <c r="J1" s="761" t="s">
        <v>665</v>
      </c>
      <c r="K1" s="762"/>
      <c r="L1" s="762"/>
      <c r="M1" s="762"/>
      <c r="N1" s="762"/>
      <c r="O1" s="762"/>
      <c r="P1" s="763"/>
      <c r="Q1" s="352"/>
    </row>
    <row r="2" spans="1:29" ht="66.95" customHeight="1" thickBot="1">
      <c r="A2" s="584"/>
      <c r="B2" s="992"/>
      <c r="C2" s="992"/>
      <c r="D2" s="992"/>
      <c r="E2" s="992"/>
      <c r="F2" s="992"/>
      <c r="G2" s="992"/>
      <c r="H2" s="992"/>
      <c r="I2" s="354"/>
      <c r="J2" s="993"/>
      <c r="K2" s="993"/>
      <c r="L2" s="993"/>
      <c r="M2" s="993"/>
      <c r="N2" s="993"/>
      <c r="O2" s="993"/>
      <c r="P2" s="993"/>
      <c r="Q2" s="352"/>
    </row>
    <row r="3" spans="1:29" ht="14.45" customHeight="1">
      <c r="A3" s="142" t="s">
        <v>601</v>
      </c>
      <c r="B3" s="582" t="s">
        <v>2314</v>
      </c>
      <c r="C3" s="770" t="s">
        <v>602</v>
      </c>
      <c r="D3" s="770"/>
      <c r="E3" s="770"/>
      <c r="F3" s="770"/>
      <c r="G3" s="770"/>
      <c r="H3" s="771"/>
      <c r="I3" s="355"/>
      <c r="J3" s="772" t="s">
        <v>615</v>
      </c>
      <c r="K3" s="773"/>
      <c r="L3" s="778" t="s">
        <v>616</v>
      </c>
      <c r="M3" s="779"/>
      <c r="N3" s="780"/>
      <c r="O3" s="518">
        <v>18</v>
      </c>
      <c r="P3" s="519">
        <v>69.400000000000006</v>
      </c>
      <c r="Q3" s="352"/>
      <c r="R3" s="996" t="s">
        <v>624</v>
      </c>
      <c r="S3" s="615" t="s">
        <v>2087</v>
      </c>
      <c r="T3" s="615" t="s">
        <v>2089</v>
      </c>
      <c r="U3" s="615" t="s">
        <v>2088</v>
      </c>
      <c r="V3" s="615" t="s">
        <v>2092</v>
      </c>
      <c r="W3" s="615" t="s">
        <v>2091</v>
      </c>
      <c r="X3" s="615" t="s">
        <v>2090</v>
      </c>
      <c r="Y3" s="615" t="s">
        <v>23</v>
      </c>
      <c r="Z3" s="998" t="s">
        <v>625</v>
      </c>
      <c r="AA3" s="392"/>
      <c r="AB3" s="392"/>
    </row>
    <row r="4" spans="1:29" ht="14.45" customHeight="1">
      <c r="A4" s="143" t="s">
        <v>603</v>
      </c>
      <c r="B4" s="580">
        <v>20</v>
      </c>
      <c r="C4" s="37" t="s">
        <v>604</v>
      </c>
      <c r="D4" s="1000">
        <f>M31</f>
        <v>1.0614273255813953</v>
      </c>
      <c r="E4" s="1001"/>
      <c r="F4" s="37" t="s">
        <v>612</v>
      </c>
      <c r="G4" s="1002">
        <f>(76.08*(D4-D5)/(1.775-D4))*(D5/0.794)</f>
        <v>7.1033082437482369</v>
      </c>
      <c r="H4" s="1003"/>
      <c r="I4" s="356"/>
      <c r="J4" s="774"/>
      <c r="K4" s="775"/>
      <c r="L4" s="121" t="s">
        <v>911</v>
      </c>
      <c r="M4" s="312">
        <v>5.4</v>
      </c>
      <c r="N4" s="313"/>
      <c r="O4" s="313" t="s">
        <v>646</v>
      </c>
      <c r="P4" s="27" t="s">
        <v>647</v>
      </c>
      <c r="Q4" s="352"/>
      <c r="R4" s="997"/>
      <c r="S4" s="307" t="s">
        <v>872</v>
      </c>
      <c r="T4" s="307" t="s">
        <v>874</v>
      </c>
      <c r="U4" s="307" t="s">
        <v>876</v>
      </c>
      <c r="V4" s="307" t="s">
        <v>878</v>
      </c>
      <c r="W4" s="307" t="s">
        <v>880</v>
      </c>
      <c r="X4" s="307" t="s">
        <v>882</v>
      </c>
      <c r="Y4" s="47"/>
      <c r="Z4" s="999"/>
      <c r="AA4" s="392"/>
      <c r="AB4" s="392"/>
    </row>
    <row r="5" spans="1:29" ht="14.45" customHeight="1">
      <c r="A5" s="143" t="s">
        <v>605</v>
      </c>
      <c r="B5" s="581">
        <v>45989</v>
      </c>
      <c r="C5" s="37" t="s">
        <v>606</v>
      </c>
      <c r="D5" s="1000">
        <f>M52</f>
        <v>1.0089999999999999</v>
      </c>
      <c r="E5" s="1005"/>
      <c r="F5" s="37" t="s">
        <v>614</v>
      </c>
      <c r="G5" s="1006">
        <f>N55</f>
        <v>2.5</v>
      </c>
      <c r="H5" s="1007"/>
      <c r="I5" s="357"/>
      <c r="J5" s="774"/>
      <c r="K5" s="775"/>
      <c r="L5" s="751" t="s">
        <v>622</v>
      </c>
      <c r="M5" s="1138" t="s">
        <v>2334</v>
      </c>
      <c r="N5" s="1139"/>
      <c r="O5" s="36">
        <v>53</v>
      </c>
      <c r="P5" s="27">
        <v>15</v>
      </c>
      <c r="Q5" s="352"/>
      <c r="R5" s="616" t="s">
        <v>2085</v>
      </c>
      <c r="S5" s="609">
        <v>48.4</v>
      </c>
      <c r="T5" s="609">
        <v>85.9</v>
      </c>
      <c r="U5" s="609">
        <v>116</v>
      </c>
      <c r="V5" s="609">
        <v>10.3</v>
      </c>
      <c r="W5" s="609">
        <v>23.8</v>
      </c>
      <c r="X5" s="609">
        <v>305</v>
      </c>
      <c r="Y5" s="610">
        <v>7.2</v>
      </c>
      <c r="Z5" s="617">
        <f>T5/S5</f>
        <v>1.7747933884297522</v>
      </c>
      <c r="AA5" s="392"/>
      <c r="AB5" s="392"/>
    </row>
    <row r="6" spans="1:29" ht="14.45" customHeight="1" thickBot="1">
      <c r="A6" s="143"/>
      <c r="B6" s="593"/>
      <c r="C6" s="37" t="s">
        <v>608</v>
      </c>
      <c r="D6" s="1008">
        <f>E26</f>
        <v>8.0965971958961447</v>
      </c>
      <c r="E6" s="1009"/>
      <c r="F6" s="37" t="s">
        <v>618</v>
      </c>
      <c r="G6" s="1002">
        <f>D7/((D4-1)*1000)</f>
        <v>0.2651036073659358</v>
      </c>
      <c r="H6" s="1003"/>
      <c r="I6" s="356"/>
      <c r="J6" s="774"/>
      <c r="K6" s="775"/>
      <c r="L6" s="752"/>
      <c r="M6" s="1138" t="s">
        <v>2335</v>
      </c>
      <c r="N6" s="1139"/>
      <c r="O6" s="36">
        <v>63</v>
      </c>
      <c r="P6" s="27">
        <v>40</v>
      </c>
      <c r="Q6" s="352"/>
      <c r="R6" s="653" t="s">
        <v>2086</v>
      </c>
      <c r="S6" s="654"/>
      <c r="T6" s="654"/>
      <c r="U6" s="654"/>
      <c r="V6" s="654"/>
      <c r="W6" s="654"/>
      <c r="X6" s="654"/>
      <c r="Y6" s="655"/>
      <c r="Z6" s="656"/>
      <c r="AA6" s="392"/>
      <c r="AB6" s="392"/>
    </row>
    <row r="7" spans="1:29" ht="15.75" customHeight="1" thickBot="1">
      <c r="A7" s="597"/>
      <c r="B7" s="598"/>
      <c r="C7" s="145" t="s">
        <v>610</v>
      </c>
      <c r="D7" s="1010">
        <f>H52</f>
        <v>16.284605602469721</v>
      </c>
      <c r="E7" s="1011"/>
      <c r="F7" s="146" t="s">
        <v>621</v>
      </c>
      <c r="G7" s="994">
        <f>D7/(0.1808*(259-(259/D4))+(0.8192*(259-(259/D5))))</f>
        <v>3.5381902534145229</v>
      </c>
      <c r="H7" s="995"/>
      <c r="I7" s="358"/>
      <c r="J7" s="774"/>
      <c r="K7" s="775"/>
      <c r="L7" s="752"/>
      <c r="M7" s="1138" t="s">
        <v>2336</v>
      </c>
      <c r="N7" s="1139"/>
      <c r="O7" s="36">
        <v>68</v>
      </c>
      <c r="P7" s="27">
        <v>20</v>
      </c>
      <c r="Q7" s="352"/>
      <c r="R7" s="1019" t="s">
        <v>2084</v>
      </c>
      <c r="S7" s="657" t="s">
        <v>2085</v>
      </c>
      <c r="T7" s="1022" t="s">
        <v>2314</v>
      </c>
      <c r="U7" s="1023"/>
      <c r="V7" s="1023"/>
      <c r="W7" s="658" t="str">
        <f>VLOOKUP(T7,Tableau4[],2,FALSE)</f>
        <v>WHEAT BEER</v>
      </c>
      <c r="X7" s="659" t="str">
        <f>VLOOKUP(T7,Tableau4[],3,FALSE)</f>
        <v>24A</v>
      </c>
      <c r="Y7" s="660"/>
      <c r="Z7" s="661"/>
      <c r="AB7" s="392"/>
    </row>
    <row r="8" spans="1:29" ht="15.75" customHeight="1" thickBot="1">
      <c r="A8" s="355"/>
      <c r="B8" s="367"/>
      <c r="D8" s="352"/>
      <c r="E8" s="352"/>
      <c r="F8" s="359"/>
      <c r="G8" s="359"/>
      <c r="H8" s="472"/>
      <c r="I8" s="359"/>
      <c r="J8" s="589"/>
      <c r="K8" s="590"/>
      <c r="L8" s="752"/>
      <c r="M8" s="1138" t="s">
        <v>2337</v>
      </c>
      <c r="N8" s="1139"/>
      <c r="O8" s="36">
        <v>78</v>
      </c>
      <c r="P8" s="27">
        <v>10</v>
      </c>
      <c r="Q8" s="352"/>
      <c r="R8" s="1020"/>
      <c r="S8" s="662" t="s">
        <v>2087</v>
      </c>
      <c r="T8" s="662" t="s">
        <v>2089</v>
      </c>
      <c r="U8" s="662" t="s">
        <v>2088</v>
      </c>
      <c r="V8" s="662" t="s">
        <v>2092</v>
      </c>
      <c r="W8" s="662" t="s">
        <v>2091</v>
      </c>
      <c r="X8" s="662" t="s">
        <v>2090</v>
      </c>
      <c r="Y8" s="662"/>
      <c r="Z8" s="663" t="s">
        <v>625</v>
      </c>
      <c r="AB8" s="392"/>
    </row>
    <row r="9" spans="1:29" ht="17.45" customHeight="1" thickBot="1">
      <c r="A9" s="1024" t="s">
        <v>634</v>
      </c>
      <c r="B9" s="148" t="s">
        <v>2073</v>
      </c>
      <c r="C9" s="148" t="s">
        <v>633</v>
      </c>
      <c r="D9" s="463" t="s">
        <v>666</v>
      </c>
      <c r="E9" s="523" t="s">
        <v>2</v>
      </c>
      <c r="F9" s="524" t="s">
        <v>2076</v>
      </c>
      <c r="G9" s="524" t="s">
        <v>23</v>
      </c>
      <c r="H9" s="525" t="s">
        <v>2014</v>
      </c>
      <c r="I9" s="355"/>
      <c r="J9" s="591"/>
      <c r="K9" s="592"/>
      <c r="L9" s="753"/>
      <c r="M9" s="1140" t="s">
        <v>620</v>
      </c>
      <c r="N9" s="1141"/>
      <c r="O9" s="176"/>
      <c r="P9" s="177">
        <f>SUM(P5:P7)</f>
        <v>75</v>
      </c>
      <c r="Q9" s="352"/>
      <c r="R9" s="1020"/>
      <c r="S9" s="613">
        <f>VLOOKUP($T$7,Tableau4[],16,FALSE)</f>
        <v>20</v>
      </c>
      <c r="T9" s="613">
        <f>VLOOKUP($T$7,Tableau4[],18,FALSE)</f>
        <v>0</v>
      </c>
      <c r="U9" s="613">
        <f>VLOOKUP($T$7,Tableau4[],20,FALSE)</f>
        <v>40</v>
      </c>
      <c r="V9" s="613">
        <f>VLOOKUP($T$7,Tableau4[],22,FALSE)</f>
        <v>5</v>
      </c>
      <c r="W9" s="613">
        <f>VLOOKUP($T$7,Tableau4[],24,FALSE)</f>
        <v>0</v>
      </c>
      <c r="X9" s="613">
        <f>VLOOKUP($T$7,Tableau4[],26,FALSE)</f>
        <v>0</v>
      </c>
      <c r="Y9" s="614" t="s">
        <v>887</v>
      </c>
      <c r="Z9" s="664">
        <f>VLOOKUP($T$7,Tableau4[],14,FALSE)</f>
        <v>0.5</v>
      </c>
      <c r="AB9" s="392"/>
    </row>
    <row r="10" spans="1:29" ht="15.75" customHeight="1" thickBot="1">
      <c r="A10" s="1025"/>
      <c r="B10" s="237" t="s">
        <v>50</v>
      </c>
      <c r="C10" s="450">
        <v>3000</v>
      </c>
      <c r="D10" s="465">
        <f t="shared" ref="D10:D23" si="0">C10/$C$26</f>
        <v>0.51724137931034486</v>
      </c>
      <c r="E10" s="526">
        <f>IFERROR(VLOOKUP(B10,INGREDIENTS!$A$6:$E$109,3,FALSE),"")</f>
        <v>3</v>
      </c>
      <c r="F10" s="527">
        <f>IFERROR(VLOOKUP(B10,INGREDIENTS!$A$6:$E$109,2,FALSE),"")</f>
        <v>0.8</v>
      </c>
      <c r="G10" s="528">
        <f>IFERROR(VLOOKUP(B10,INGREDIENTS!$A$6:$E$121,5,FALSE),"")</f>
        <v>5.7</v>
      </c>
      <c r="H10" s="529">
        <f>IFERROR(VLOOKUP(B10,INGREDIENTS!$A$6:$F$121,6,FALSE),"")</f>
        <v>300</v>
      </c>
      <c r="I10" s="360"/>
      <c r="J10" s="801" t="s">
        <v>714</v>
      </c>
      <c r="K10" s="801"/>
      <c r="L10" s="418"/>
      <c r="M10" s="418"/>
      <c r="N10" s="418"/>
      <c r="O10" s="418"/>
      <c r="P10" s="418"/>
      <c r="Q10" s="352"/>
      <c r="R10" s="1020"/>
      <c r="S10" s="618">
        <f>VLOOKUP($T$7,Tableau4[],17,FALSE)</f>
        <v>40</v>
      </c>
      <c r="T10" s="618">
        <f>VLOOKUP($T$7,Tableau4[],19,FALSE)</f>
        <v>30</v>
      </c>
      <c r="U10" s="618">
        <f>VLOOKUP($T$7,Tableau4[],21,FALSE)</f>
        <v>80</v>
      </c>
      <c r="V10" s="618">
        <f>VLOOKUP($T$7,Tableau4[],23,FALSE)</f>
        <v>20</v>
      </c>
      <c r="W10" s="618">
        <f>VLOOKUP($T$7,Tableau4[],25,FALSE)</f>
        <v>20</v>
      </c>
      <c r="X10" s="618">
        <f>VLOOKUP($T$7,Tableau4[],27,FALSE)</f>
        <v>30</v>
      </c>
      <c r="Y10" s="619" t="s">
        <v>888</v>
      </c>
      <c r="Z10" s="665">
        <f>VLOOKUP($T$7,Tableau4[],15,FALSE)</f>
        <v>1</v>
      </c>
      <c r="AB10" s="392"/>
    </row>
    <row r="11" spans="1:29">
      <c r="A11" s="1025"/>
      <c r="B11" s="237" t="s">
        <v>29</v>
      </c>
      <c r="C11" s="450">
        <v>2000</v>
      </c>
      <c r="D11" s="465">
        <f t="shared" si="0"/>
        <v>0.34482758620689657</v>
      </c>
      <c r="E11" s="526">
        <f>IFERROR(VLOOKUP(B11,INGREDIENTS!$A$6:$E$109,3,FALSE),"")</f>
        <v>5</v>
      </c>
      <c r="F11" s="527">
        <f>IFERROR(VLOOKUP(B11,INGREDIENTS!$A$6:$E$109,2,FALSE),"")</f>
        <v>0.77</v>
      </c>
      <c r="G11" s="528">
        <f>IFERROR(VLOOKUP(B11,INGREDIENTS!$A$6:$E$121,5,FALSE),"")</f>
        <v>5.2</v>
      </c>
      <c r="H11" s="529">
        <f>IFERROR(VLOOKUP(B11,INGREDIENTS!$A$6:$F$121,6,FALSE),"")</f>
        <v>270</v>
      </c>
      <c r="I11" s="360"/>
      <c r="J11" s="786" t="s">
        <v>626</v>
      </c>
      <c r="K11" s="787"/>
      <c r="L11" s="790" t="s">
        <v>627</v>
      </c>
      <c r="M11" s="792">
        <v>18</v>
      </c>
      <c r="N11" s="793"/>
      <c r="O11" s="794" t="s">
        <v>23</v>
      </c>
      <c r="P11" s="1026">
        <v>7.2</v>
      </c>
      <c r="Q11" s="352"/>
      <c r="R11" s="1020"/>
      <c r="S11" s="662" t="s">
        <v>612</v>
      </c>
      <c r="T11" s="662" t="s">
        <v>604</v>
      </c>
      <c r="U11" s="662" t="s">
        <v>606</v>
      </c>
      <c r="V11" s="662" t="s">
        <v>693</v>
      </c>
      <c r="W11" s="662" t="s">
        <v>2</v>
      </c>
      <c r="X11" s="666" t="s">
        <v>2134</v>
      </c>
      <c r="Y11" s="610"/>
      <c r="Z11" s="663"/>
      <c r="AB11" s="392"/>
    </row>
    <row r="12" spans="1:29" ht="15.75" customHeight="1" thickBot="1">
      <c r="A12" s="1025"/>
      <c r="B12" s="237" t="s">
        <v>26</v>
      </c>
      <c r="C12" s="450">
        <v>500</v>
      </c>
      <c r="D12" s="465">
        <f t="shared" si="0"/>
        <v>8.6206896551724144E-2</v>
      </c>
      <c r="E12" s="526">
        <f>IFERROR(VLOOKUP(B12,INGREDIENTS!$A$6:$E$109,3,FALSE),"")</f>
        <v>5</v>
      </c>
      <c r="F12" s="527">
        <f>IFERROR(VLOOKUP(B12,INGREDIENTS!$A$6:$E$109,2,FALSE),"")</f>
        <v>0.7</v>
      </c>
      <c r="G12" s="528">
        <f>IFERROR(VLOOKUP(B12,INGREDIENTS!$A$6:$E$121,5,FALSE),"")</f>
        <v>5.2</v>
      </c>
      <c r="H12" s="529">
        <f>IFERROR(VLOOKUP(B12,INGREDIENTS!$A$6:$F$121,6,FALSE),"")</f>
        <v>270</v>
      </c>
      <c r="I12" s="360"/>
      <c r="J12" s="788"/>
      <c r="K12" s="789"/>
      <c r="L12" s="791"/>
      <c r="M12" s="799">
        <v>78</v>
      </c>
      <c r="N12" s="800"/>
      <c r="O12" s="795"/>
      <c r="P12" s="1027"/>
      <c r="Q12" s="352"/>
      <c r="R12" s="1020"/>
      <c r="S12" s="613">
        <f>VLOOKUP($T$7,Tableau4[],8,FALSE)</f>
        <v>4.4000000000000004</v>
      </c>
      <c r="T12" s="613">
        <f>VLOOKUP($T$7,Tableau4[],4,FALSE)</f>
        <v>1.044</v>
      </c>
      <c r="U12" s="613">
        <f>VLOOKUP($T$7,Tableau4[],6,FALSE)</f>
        <v>1.008</v>
      </c>
      <c r="V12" s="613">
        <f>VLOOKUP($T$7,Tableau4[],10,FALSE)</f>
        <v>8</v>
      </c>
      <c r="W12" s="613">
        <f>VLOOKUP($T$7,Tableau4[],12,FALSE)</f>
        <v>4</v>
      </c>
      <c r="X12" s="613">
        <f>VLOOKUP($T$7,Tableau4[],28,FALSE)</f>
        <v>5.2</v>
      </c>
      <c r="Y12" s="614" t="s">
        <v>887</v>
      </c>
      <c r="Z12" s="664"/>
      <c r="AB12" s="392"/>
      <c r="AC12" s="620"/>
    </row>
    <row r="13" spans="1:29" ht="14.45" customHeight="1" thickBot="1">
      <c r="A13" s="1025"/>
      <c r="B13" s="237" t="s">
        <v>55</v>
      </c>
      <c r="C13" s="450">
        <v>300</v>
      </c>
      <c r="D13" s="465">
        <f t="shared" si="0"/>
        <v>5.1724137931034482E-2</v>
      </c>
      <c r="E13" s="526">
        <f>IFERROR(VLOOKUP(B13,INGREDIENTS!$A$6:$E$109,3,FALSE),"")</f>
        <v>6</v>
      </c>
      <c r="F13" s="527">
        <f>IFERROR(VLOOKUP(B13,INGREDIENTS!$A$6:$E$109,2,FALSE),"")</f>
        <v>0.75</v>
      </c>
      <c r="G13" s="528">
        <f>IFERROR(VLOOKUP(B13,INGREDIENTS!$A$6:$E$121,5,FALSE),"")</f>
        <v>5.56</v>
      </c>
      <c r="H13" s="529">
        <f>IFERROR(VLOOKUP(B13,INGREDIENTS!$A$6:$F$121,6,FALSE),"")</f>
        <v>295</v>
      </c>
      <c r="I13" s="360"/>
      <c r="J13" s="801" t="s">
        <v>714</v>
      </c>
      <c r="K13" s="801"/>
      <c r="L13" s="261"/>
      <c r="M13" s="30"/>
      <c r="N13" s="31"/>
      <c r="O13" s="31"/>
      <c r="P13" s="28"/>
      <c r="Q13" s="352"/>
      <c r="R13" s="1021"/>
      <c r="S13" s="618">
        <f>VLOOKUP($T$7,Tableau4[],9,FALSE)</f>
        <v>5.6</v>
      </c>
      <c r="T13" s="618">
        <f>VLOOKUP($T$7,Tableau4[],5,FALSE)</f>
        <v>1.052</v>
      </c>
      <c r="U13" s="618">
        <f>VLOOKUP($T$7,Tableau4[],7,FALSE)</f>
        <v>1.012</v>
      </c>
      <c r="V13" s="618">
        <f>VLOOKUP($T$7,Tableau4[],11,FALSE)</f>
        <v>20</v>
      </c>
      <c r="W13" s="618">
        <f>VLOOKUP($T$7,Tableau4[],13,FALSE)</f>
        <v>8</v>
      </c>
      <c r="X13" s="618">
        <f>VLOOKUP($T$7,Tableau4[],29,FALSE)</f>
        <v>5.4</v>
      </c>
      <c r="Y13" s="619" t="s">
        <v>888</v>
      </c>
      <c r="Z13" s="665"/>
      <c r="AB13" s="392"/>
      <c r="AC13" s="621"/>
    </row>
    <row r="14" spans="1:29" ht="14.45" customHeight="1">
      <c r="A14" s="1025"/>
      <c r="B14" s="237"/>
      <c r="C14" s="450"/>
      <c r="D14" s="465">
        <f t="shared" si="0"/>
        <v>0</v>
      </c>
      <c r="E14" s="526" t="str">
        <f>IFERROR(VLOOKUP(B14,INGREDIENTS!$A$6:$E$109,3,FALSE),"")</f>
        <v/>
      </c>
      <c r="F14" s="527" t="str">
        <f>IFERROR(VLOOKUP(B14,INGREDIENTS!$A$6:$E$109,2,FALSE),"")</f>
        <v/>
      </c>
      <c r="G14" s="528" t="str">
        <f>IFERROR(VLOOKUP(B14,INGREDIENTS!$A$6:$E$121,5,FALSE),"")</f>
        <v/>
      </c>
      <c r="H14" s="529" t="str">
        <f>IFERROR(VLOOKUP(B14,INGREDIENTS!$A$6:$F$121,6,FALSE),"")</f>
        <v/>
      </c>
      <c r="I14" s="360"/>
      <c r="J14" s="802" t="s">
        <v>628</v>
      </c>
      <c r="K14" s="803"/>
      <c r="L14" s="205"/>
      <c r="M14" s="542" t="s">
        <v>737</v>
      </c>
      <c r="N14" s="808" t="s">
        <v>630</v>
      </c>
      <c r="O14" s="1012"/>
      <c r="P14" s="810"/>
      <c r="Q14" s="352"/>
      <c r="AC14" s="620"/>
    </row>
    <row r="15" spans="1:29" ht="17.100000000000001" customHeight="1">
      <c r="A15" s="1025"/>
      <c r="B15" s="237"/>
      <c r="C15" s="26"/>
      <c r="D15" s="465">
        <f t="shared" si="0"/>
        <v>0</v>
      </c>
      <c r="E15" s="526" t="str">
        <f>IFERROR(VLOOKUP(B15,INGREDIENTS!$A$6:$E$109,3,FALSE),"")</f>
        <v/>
      </c>
      <c r="F15" s="527" t="str">
        <f>IFERROR(VLOOKUP(B15,INGREDIENTS!$A$6:$E$109,2,FALSE),"")</f>
        <v/>
      </c>
      <c r="G15" s="528" t="str">
        <f>IFERROR(VLOOKUP(B15,INGREDIENTS!$A$6:$E$121,5,FALSE),"")</f>
        <v/>
      </c>
      <c r="H15" s="529" t="str">
        <f>IFERROR(VLOOKUP(B15,INGREDIENTS!$A$6:$F$121,6,FALSE),"")</f>
        <v/>
      </c>
      <c r="I15" s="360"/>
      <c r="J15" s="804"/>
      <c r="K15" s="805"/>
      <c r="L15" s="38" t="s">
        <v>631</v>
      </c>
      <c r="M15" s="543"/>
      <c r="N15" s="1013"/>
      <c r="O15" s="1014"/>
      <c r="P15" s="1015"/>
      <c r="Q15" s="352"/>
      <c r="AC15" s="620"/>
    </row>
    <row r="16" spans="1:29" ht="17.100000000000001" customHeight="1">
      <c r="A16" s="1025"/>
      <c r="B16" s="237"/>
      <c r="C16" s="26"/>
      <c r="D16" s="465">
        <f t="shared" si="0"/>
        <v>0</v>
      </c>
      <c r="E16" s="526" t="str">
        <f>IFERROR(VLOOKUP(B16,INGREDIENTS!$A$6:$E$109,3,FALSE),"")</f>
        <v/>
      </c>
      <c r="F16" s="527" t="str">
        <f>IFERROR(VLOOKUP(B16,INGREDIENTS!$A$6:$E$109,2,FALSE),"")</f>
        <v/>
      </c>
      <c r="G16" s="528" t="str">
        <f>IFERROR(VLOOKUP(B16,INGREDIENTS!$A$6:$E$121,5,FALSE),"")</f>
        <v/>
      </c>
      <c r="H16" s="529" t="str">
        <f>IFERROR(VLOOKUP(B16,INGREDIENTS!$A$6:$F$121,6,FALSE),"")</f>
        <v/>
      </c>
      <c r="I16" s="360"/>
      <c r="J16" s="804"/>
      <c r="K16" s="805"/>
      <c r="L16" s="38" t="s">
        <v>603</v>
      </c>
      <c r="M16" s="543">
        <v>25</v>
      </c>
      <c r="N16" s="1016"/>
      <c r="O16" s="1017"/>
      <c r="P16" s="1018"/>
      <c r="Q16" s="352"/>
      <c r="R16" s="798" t="s">
        <v>682</v>
      </c>
      <c r="S16" s="798"/>
      <c r="T16" s="798"/>
      <c r="AC16" s="620"/>
    </row>
    <row r="17" spans="1:29" ht="17.100000000000001" customHeight="1">
      <c r="A17" s="1025"/>
      <c r="B17" s="237"/>
      <c r="C17" s="26"/>
      <c r="D17" s="465">
        <f t="shared" si="0"/>
        <v>0</v>
      </c>
      <c r="E17" s="526" t="str">
        <f>IFERROR(VLOOKUP(B17,INGREDIENTS!$A$6:$E$109,3,FALSE),"")</f>
        <v/>
      </c>
      <c r="F17" s="527" t="str">
        <f>IFERROR(VLOOKUP(B17,INGREDIENTS!$A$6:$E$109,2,FALSE),"")</f>
        <v/>
      </c>
      <c r="G17" s="528" t="str">
        <f>IFERROR(VLOOKUP(B17,INGREDIENTS!$A$6:$E$121,5,FALSE),"")</f>
        <v/>
      </c>
      <c r="H17" s="529" t="str">
        <f>IFERROR(VLOOKUP(B17,INGREDIENTS!$A$6:$F$121,6,FALSE),"")</f>
        <v/>
      </c>
      <c r="I17" s="360"/>
      <c r="J17" s="804"/>
      <c r="K17" s="805"/>
      <c r="L17" s="1028" t="s">
        <v>607</v>
      </c>
      <c r="M17" s="1030">
        <f>(2.57452*(M15-1)*M16*1000)/(C26*(SUMPRODUCT(F10:F23,C10:C23)/$C$26))</f>
        <v>-14.255370985603543</v>
      </c>
      <c r="N17" s="1032">
        <f>(2.57452*(N15-1)*N16*1000)/(C26*(SUMPRODUCT(F10:F23,C10:C23)/$C$26))</f>
        <v>0</v>
      </c>
      <c r="O17" s="1033"/>
      <c r="P17" s="1034"/>
      <c r="Q17" s="352"/>
      <c r="R17" s="304" t="s">
        <v>870</v>
      </c>
      <c r="Z17" s="390"/>
      <c r="AA17" s="392"/>
      <c r="AC17" s="620"/>
    </row>
    <row r="18" spans="1:29" ht="17.100000000000001" customHeight="1" thickBot="1">
      <c r="A18" s="1025"/>
      <c r="B18" s="237"/>
      <c r="C18" s="26"/>
      <c r="D18" s="465">
        <f t="shared" si="0"/>
        <v>0</v>
      </c>
      <c r="E18" s="526" t="str">
        <f>IFERROR(VLOOKUP(B18,INGREDIENTS!$A$6:$E$109,3,FALSE),"")</f>
        <v/>
      </c>
      <c r="F18" s="527" t="str">
        <f>IFERROR(VLOOKUP(B18,INGREDIENTS!$A$6:$E$109,2,FALSE),"")</f>
        <v/>
      </c>
      <c r="G18" s="528" t="str">
        <f>IFERROR(VLOOKUP(B18,INGREDIENTS!$A$6:$E$121,5,FALSE),"")</f>
        <v/>
      </c>
      <c r="H18" s="529" t="str">
        <f>IFERROR(VLOOKUP(B18,INGREDIENTS!$A$6:$F$121,6,FALSE),"")</f>
        <v/>
      </c>
      <c r="I18" s="360"/>
      <c r="J18" s="806"/>
      <c r="K18" s="807"/>
      <c r="L18" s="1029"/>
      <c r="M18" s="1031"/>
      <c r="N18" s="1035"/>
      <c r="O18" s="1036"/>
      <c r="P18" s="1037"/>
      <c r="Q18" s="352"/>
      <c r="R18" s="304" t="s">
        <v>908</v>
      </c>
      <c r="Z18" s="390"/>
      <c r="AA18" s="392"/>
    </row>
    <row r="19" spans="1:29" ht="17.100000000000001" customHeight="1" thickBot="1">
      <c r="A19" s="1025"/>
      <c r="B19" s="237"/>
      <c r="C19" s="26"/>
      <c r="D19" s="465">
        <f t="shared" si="0"/>
        <v>0</v>
      </c>
      <c r="E19" s="526" t="str">
        <f>IFERROR(VLOOKUP(B19,INGREDIENTS!$A$6:$E$109,3,FALSE),"")</f>
        <v/>
      </c>
      <c r="F19" s="527" t="str">
        <f>IFERROR(VLOOKUP(B19,INGREDIENTS!$A$6:$E$109,2,FALSE),"")</f>
        <v/>
      </c>
      <c r="G19" s="528" t="str">
        <f>IFERROR(VLOOKUP(B19,INGREDIENTS!$A$6:$E$121,5,FALSE),"")</f>
        <v/>
      </c>
      <c r="H19" s="529" t="str">
        <f>IFERROR(VLOOKUP(B19,INGREDIENTS!$A$6:$F$121,6,FALSE),"")</f>
        <v/>
      </c>
      <c r="I19" s="361"/>
      <c r="J19" s="784" t="s">
        <v>714</v>
      </c>
      <c r="K19" s="784"/>
      <c r="L19" s="418"/>
      <c r="M19" s="362"/>
      <c r="N19" s="362"/>
      <c r="O19" s="362"/>
      <c r="P19" s="362"/>
      <c r="Q19" s="352"/>
      <c r="AA19" s="392"/>
    </row>
    <row r="20" spans="1:29" ht="17.45" customHeight="1" thickBot="1">
      <c r="A20" s="1038"/>
      <c r="B20" s="237" t="str">
        <f>IFERROR(VLOOKUP(A20,INGREDIENTS!$A$6:$E$38,3,FALSE),"")</f>
        <v/>
      </c>
      <c r="C20" s="450"/>
      <c r="D20" s="466">
        <f t="shared" si="0"/>
        <v>0</v>
      </c>
      <c r="E20" s="526" t="str">
        <f>IFERROR(VLOOKUP(B20,INGREDIENTS!$A$6:$E$38,3,FALSE),"")</f>
        <v/>
      </c>
      <c r="F20" s="527" t="str">
        <f>IFERROR(VLOOKUP(B20,INGREDIENTS!$A$6:$E$109,2,FALSE),"")</f>
        <v/>
      </c>
      <c r="G20" s="528" t="str">
        <f>IFERROR(VLOOKUP(B20,INGREDIENTS!$A$6:$E$121,5,FALSE),"")</f>
        <v/>
      </c>
      <c r="H20" s="529" t="str">
        <f>IFERROR(VLOOKUP(B20,INGREDIENTS!$A$6:$F$121,6,FALSE),"")</f>
        <v/>
      </c>
      <c r="I20" s="361"/>
      <c r="J20" s="844" t="s">
        <v>736</v>
      </c>
      <c r="K20" s="845"/>
      <c r="L20" s="181"/>
      <c r="M20" s="539" t="s">
        <v>737</v>
      </c>
      <c r="N20" s="850" t="s">
        <v>630</v>
      </c>
      <c r="O20" s="1039"/>
      <c r="P20" s="852"/>
      <c r="Q20" s="352"/>
      <c r="R20" s="1040" t="s">
        <v>912</v>
      </c>
      <c r="S20" s="1041"/>
      <c r="T20" s="1041"/>
      <c r="U20" s="1042"/>
    </row>
    <row r="21" spans="1:29" ht="18" customHeight="1" thickTop="1">
      <c r="A21" s="1043" t="s">
        <v>637</v>
      </c>
      <c r="B21" s="394"/>
      <c r="C21" s="451"/>
      <c r="D21" s="467">
        <f t="shared" si="0"/>
        <v>0</v>
      </c>
      <c r="E21" s="530" t="str">
        <f>IFERROR(VLOOKUP(B21,INGREDIENTS!$I$6:$L$37,3,FALSE),"")</f>
        <v/>
      </c>
      <c r="F21" s="531" t="str">
        <f>IFERROR(VLOOKUP(B21,INGREDIENTS!$I$6:$L$37,2,FALSE),"")</f>
        <v/>
      </c>
      <c r="G21" s="532" t="str">
        <f>IFERROR(VLOOKUP(B21,INGREDIENTS!$I$6:$L$37,4,FALSE),"")</f>
        <v/>
      </c>
      <c r="H21" s="533" t="str">
        <f>IFERROR(VLOOKUP(B21,INGREDIENTS!$I$6:$M$37,5,FALSE),"")</f>
        <v/>
      </c>
      <c r="I21" s="352"/>
      <c r="J21" s="846"/>
      <c r="K21" s="847"/>
      <c r="L21" s="570" t="s">
        <v>631</v>
      </c>
      <c r="M21" s="540">
        <f>H25</f>
        <v>1.0552845930232557</v>
      </c>
      <c r="N21" s="1046"/>
      <c r="O21" s="1047"/>
      <c r="P21" s="1048"/>
      <c r="Q21" s="352"/>
      <c r="R21" s="1049"/>
      <c r="S21" s="861"/>
      <c r="T21" s="435" t="s">
        <v>615</v>
      </c>
      <c r="U21" s="435" t="s">
        <v>2093</v>
      </c>
    </row>
    <row r="22" spans="1:29" ht="15.6" customHeight="1">
      <c r="A22" s="1025"/>
      <c r="B22" s="237" t="str">
        <f>IFERROR(VLOOKUP(A22,INGREDIENTS!$I$6:$L$24,3,FALSE),"")</f>
        <v/>
      </c>
      <c r="C22" s="450"/>
      <c r="D22" s="465">
        <f t="shared" si="0"/>
        <v>0</v>
      </c>
      <c r="E22" s="526" t="str">
        <f>IFERROR(VLOOKUP(B22,INGREDIENTS!$I$6:$L$37,3,FALSE),"")</f>
        <v/>
      </c>
      <c r="F22" s="527" t="str">
        <f>IFERROR(VLOOKUP(B22,INGREDIENTS!$I$6:$L$37,2,FALSE),"")</f>
        <v/>
      </c>
      <c r="G22" s="528" t="str">
        <f>IFERROR(VLOOKUP(B22,INGREDIENTS!$I$6:$L$37,4,FALSE),"")</f>
        <v/>
      </c>
      <c r="H22" s="529" t="str">
        <f>IFERROR(VLOOKUP(B22,INGREDIENTS!$I$6:$M$37,5,FALSE),"")</f>
        <v/>
      </c>
      <c r="I22" s="355"/>
      <c r="J22" s="846"/>
      <c r="K22" s="847"/>
      <c r="L22" s="571" t="s">
        <v>603</v>
      </c>
      <c r="M22" s="544">
        <v>22.5</v>
      </c>
      <c r="N22" s="1050"/>
      <c r="O22" s="1050"/>
      <c r="P22" s="875"/>
      <c r="Q22" s="352"/>
      <c r="R22" s="1049" t="s">
        <v>916</v>
      </c>
      <c r="S22" s="861"/>
      <c r="T22" s="435">
        <f>G26</f>
        <v>5.4772413793103452</v>
      </c>
      <c r="U22" s="435"/>
    </row>
    <row r="23" spans="1:29" ht="14.45" customHeight="1" thickBot="1">
      <c r="A23" s="1025"/>
      <c r="B23" s="477" t="str">
        <f>IFERROR(VLOOKUP(A23,INGREDIENTS!$I$6:$L$24,3,FALSE),"")</f>
        <v/>
      </c>
      <c r="C23" s="478"/>
      <c r="D23" s="479">
        <f t="shared" si="0"/>
        <v>0</v>
      </c>
      <c r="E23" s="534" t="str">
        <f>IFERROR(VLOOKUP(B23,INGREDIENTS!$I$6:$L$37,3,FALSE),"")</f>
        <v/>
      </c>
      <c r="F23" s="535" t="str">
        <f>IFERROR(VLOOKUP(B23,INGREDIENTS!$I$6:$L$37,2,FALSE),"")</f>
        <v/>
      </c>
      <c r="G23" s="536" t="str">
        <f>IFERROR(VLOOKUP(B23,INGREDIENTS!$I$6:$L$37,4,FALSE),"")</f>
        <v/>
      </c>
      <c r="H23" s="537" t="str">
        <f>IFERROR(VLOOKUP(B23,INGREDIENTS!$I$6:$M$37,5,FALSE),"")</f>
        <v/>
      </c>
      <c r="I23" s="362"/>
      <c r="J23" s="846"/>
      <c r="K23" s="847"/>
      <c r="L23" s="243" t="s">
        <v>635</v>
      </c>
      <c r="M23" s="541">
        <v>10</v>
      </c>
      <c r="N23" s="876" t="e">
        <f>(N16-N22)*100/N16</f>
        <v>#DIV/0!</v>
      </c>
      <c r="O23" s="1051"/>
      <c r="P23" s="1052"/>
      <c r="Q23" s="352"/>
      <c r="R23" s="1049" t="s">
        <v>913</v>
      </c>
      <c r="S23" s="861"/>
      <c r="T23" s="435">
        <f>Y5</f>
        <v>7.2</v>
      </c>
      <c r="U23" s="435">
        <f>Y5</f>
        <v>7.2</v>
      </c>
    </row>
    <row r="24" spans="1:29" ht="14.45" customHeight="1" thickBot="1">
      <c r="A24" s="1053" t="s">
        <v>639</v>
      </c>
      <c r="B24" s="494" t="s">
        <v>634</v>
      </c>
      <c r="C24" s="490">
        <f>SUM(C10:C20)</f>
        <v>5800</v>
      </c>
      <c r="D24" s="487">
        <f>SUM(D10:D20)</f>
        <v>1</v>
      </c>
      <c r="E24" s="1056" t="s">
        <v>2021</v>
      </c>
      <c r="F24" s="1057"/>
      <c r="G24" s="493">
        <v>0.27500000000000002</v>
      </c>
      <c r="H24" s="482" t="s">
        <v>2077</v>
      </c>
      <c r="I24" s="362"/>
      <c r="J24" s="846"/>
      <c r="K24" s="847"/>
      <c r="L24" s="565" t="s">
        <v>636</v>
      </c>
      <c r="M24" s="566"/>
      <c r="N24" s="566"/>
      <c r="O24" s="567"/>
      <c r="P24" s="568">
        <f>((N15-1)*1000)*N16*2.57452-((N21-1)*1000)*N22*2.57452</f>
        <v>0</v>
      </c>
      <c r="Q24" s="352"/>
      <c r="R24" s="1049" t="s">
        <v>869</v>
      </c>
      <c r="S24" s="861"/>
      <c r="T24" s="435">
        <v>5.4</v>
      </c>
      <c r="U24" s="435">
        <v>5.6</v>
      </c>
    </row>
    <row r="25" spans="1:29" ht="14.45" customHeight="1">
      <c r="A25" s="1054"/>
      <c r="B25" s="485" t="s">
        <v>2024</v>
      </c>
      <c r="C25" s="491">
        <f>SUM(C21:C23)</f>
        <v>0</v>
      </c>
      <c r="D25" s="488">
        <f>SUM(D21:D23)</f>
        <v>0</v>
      </c>
      <c r="E25" s="473" t="s">
        <v>2</v>
      </c>
      <c r="F25" s="474" t="s">
        <v>2022</v>
      </c>
      <c r="G25" s="475" t="s">
        <v>23</v>
      </c>
      <c r="H25" s="484">
        <f>1+(SUMPRODUCT(H10:H23,C10:C23,F10:F23)*G24/1000/M16)/258</f>
        <v>1.0552845930232557</v>
      </c>
      <c r="I25" s="362"/>
      <c r="J25" s="846"/>
      <c r="K25" s="847"/>
      <c r="L25" s="571" t="s">
        <v>718</v>
      </c>
      <c r="M25" s="864">
        <v>10</v>
      </c>
      <c r="N25" s="865"/>
      <c r="O25" s="866">
        <v>85</v>
      </c>
      <c r="P25" s="867"/>
      <c r="Q25" s="352"/>
      <c r="R25" s="1049" t="s">
        <v>915</v>
      </c>
      <c r="S25" s="861"/>
      <c r="T25" s="436">
        <v>18</v>
      </c>
      <c r="U25" s="436">
        <v>18</v>
      </c>
    </row>
    <row r="26" spans="1:29" ht="14.45" customHeight="1" thickBot="1">
      <c r="A26" s="1055"/>
      <c r="B26" s="486" t="s">
        <v>2023</v>
      </c>
      <c r="C26" s="492">
        <f>SUM(C10:C23)</f>
        <v>5800</v>
      </c>
      <c r="D26" s="489">
        <f>SUM(D10:D23)</f>
        <v>1</v>
      </c>
      <c r="E26" s="483">
        <f>2.9396*((4.23*SUMPRODUCT(E10:E23,C10:C23)/1000)/M22)^0.6859</f>
        <v>8.0965971958961447</v>
      </c>
      <c r="F26" s="480">
        <f>SUMPRODUCT(F10:F23,C10:C23)/$C$26</f>
        <v>0.77844827586206899</v>
      </c>
      <c r="G26" s="481">
        <f>SUMPRODUCT(G10:G23,C10:C23)/$C$26</f>
        <v>5.4772413793103452</v>
      </c>
      <c r="H26" s="476">
        <f>1+(SUMPRODUCT(H10:H23,C10:C23,F10:F23)*G24/1000/M22)/258</f>
        <v>1.0614273255813953</v>
      </c>
      <c r="I26" s="352"/>
      <c r="J26" s="846"/>
      <c r="K26" s="847"/>
      <c r="L26" s="571" t="s">
        <v>716</v>
      </c>
      <c r="M26" s="864">
        <v>2</v>
      </c>
      <c r="N26" s="865"/>
      <c r="O26" s="866">
        <v>85</v>
      </c>
      <c r="P26" s="867"/>
      <c r="Q26" s="352"/>
      <c r="R26" s="1077" t="s">
        <v>914</v>
      </c>
      <c r="S26" s="869"/>
      <c r="T26" s="1079">
        <v>0.8</v>
      </c>
      <c r="U26" s="1081">
        <v>0.8</v>
      </c>
    </row>
    <row r="27" spans="1:29" ht="17.25" customHeight="1" thickBot="1">
      <c r="A27" s="678"/>
      <c r="B27" s="352"/>
      <c r="C27" s="352"/>
      <c r="D27" s="352"/>
      <c r="E27" s="352"/>
      <c r="F27" s="352"/>
      <c r="G27" s="352"/>
      <c r="H27" s="352"/>
      <c r="I27" s="355"/>
      <c r="J27" s="846"/>
      <c r="K27" s="847"/>
      <c r="L27" s="571" t="s">
        <v>717</v>
      </c>
      <c r="M27" s="864">
        <v>30</v>
      </c>
      <c r="N27" s="865"/>
      <c r="O27" s="866">
        <v>80</v>
      </c>
      <c r="P27" s="867"/>
      <c r="Q27" s="352"/>
      <c r="R27" s="1078"/>
      <c r="S27" s="871"/>
      <c r="T27" s="1080"/>
      <c r="U27" s="1082"/>
    </row>
    <row r="28" spans="1:29" ht="14.45" customHeight="1" thickBot="1">
      <c r="A28" s="853" t="s">
        <v>643</v>
      </c>
      <c r="B28" s="415" t="s">
        <v>2073</v>
      </c>
      <c r="C28" s="856" t="s">
        <v>588</v>
      </c>
      <c r="D28" s="878"/>
      <c r="E28" s="878"/>
      <c r="F28" s="878"/>
      <c r="G28" s="857"/>
      <c r="H28" s="347" t="s">
        <v>644</v>
      </c>
      <c r="I28" s="363"/>
      <c r="J28" s="848"/>
      <c r="K28" s="849"/>
      <c r="L28" s="572" t="s">
        <v>718</v>
      </c>
      <c r="M28" s="887">
        <v>35</v>
      </c>
      <c r="N28" s="888"/>
      <c r="O28" s="889">
        <v>27</v>
      </c>
      <c r="P28" s="890"/>
      <c r="Q28" s="352"/>
      <c r="R28" s="1075" t="s">
        <v>644</v>
      </c>
      <c r="S28" s="1076"/>
      <c r="T28" s="437">
        <f>((POWER(10,-T24)-POWER(10,-T23))*T25)/(T26/100)/(1.206/1000)</f>
        <v>7.3096566624756463</v>
      </c>
      <c r="U28" s="437">
        <f>((POWER(10,-U24)-POWER(10,-U23))*U25)/(U26/100)/(1.206/1000)</f>
        <v>4.5686393601894801</v>
      </c>
    </row>
    <row r="29" spans="1:29" ht="14.45" customHeight="1" thickBot="1">
      <c r="A29" s="854"/>
      <c r="B29" s="452" t="s">
        <v>2404</v>
      </c>
      <c r="C29" s="673" t="s">
        <v>2431</v>
      </c>
      <c r="D29" s="411"/>
      <c r="E29" s="411"/>
      <c r="F29" s="411"/>
      <c r="G29" s="411"/>
      <c r="H29" s="348">
        <v>150</v>
      </c>
      <c r="I29" s="363"/>
      <c r="J29" s="365" t="s">
        <v>714</v>
      </c>
      <c r="K29" s="366"/>
      <c r="L29" s="1148"/>
      <c r="M29" s="1148"/>
      <c r="N29" s="1148"/>
      <c r="O29" s="1148"/>
      <c r="P29" s="1148"/>
      <c r="Q29" s="352"/>
    </row>
    <row r="30" spans="1:29" ht="15" customHeight="1">
      <c r="A30" s="854"/>
      <c r="B30" s="452" t="s">
        <v>2404</v>
      </c>
      <c r="C30" s="673" t="s">
        <v>2405</v>
      </c>
      <c r="D30" s="411"/>
      <c r="E30" s="411"/>
      <c r="F30" s="411"/>
      <c r="G30" s="411"/>
      <c r="H30" s="348">
        <v>400</v>
      </c>
      <c r="I30" s="363"/>
      <c r="J30" s="891" t="s">
        <v>638</v>
      </c>
      <c r="K30" s="892"/>
      <c r="L30" s="179"/>
      <c r="M30" s="545" t="s">
        <v>737</v>
      </c>
      <c r="N30" s="897" t="s">
        <v>630</v>
      </c>
      <c r="O30" s="1044"/>
      <c r="P30" s="1045"/>
      <c r="Q30" s="352"/>
      <c r="R30" s="1058" t="s">
        <v>1922</v>
      </c>
      <c r="S30" s="1059"/>
      <c r="T30" s="1059"/>
      <c r="U30" s="1060"/>
      <c r="W30" s="1061" t="s">
        <v>2005</v>
      </c>
      <c r="X30" s="1062"/>
      <c r="Y30" s="1062"/>
      <c r="Z30" s="1062"/>
      <c r="AA30" s="1063"/>
    </row>
    <row r="31" spans="1:29" ht="15.6" customHeight="1">
      <c r="A31" s="854"/>
      <c r="B31" s="452"/>
      <c r="C31" s="673"/>
      <c r="D31" s="411"/>
      <c r="E31" s="411"/>
      <c r="F31" s="411"/>
      <c r="G31" s="411"/>
      <c r="H31" s="348"/>
      <c r="I31" s="363"/>
      <c r="J31" s="893"/>
      <c r="K31" s="894"/>
      <c r="L31" s="49" t="s">
        <v>604</v>
      </c>
      <c r="M31" s="546">
        <f>H26</f>
        <v>1.0614273255813953</v>
      </c>
      <c r="N31" s="1064"/>
      <c r="O31" s="1065"/>
      <c r="P31" s="1066"/>
      <c r="Q31" s="352"/>
      <c r="R31" s="630"/>
      <c r="S31" s="631"/>
      <c r="T31" s="407" t="s">
        <v>615</v>
      </c>
      <c r="U31" s="438" t="s">
        <v>2093</v>
      </c>
      <c r="W31" s="633" t="s">
        <v>2006</v>
      </c>
      <c r="X31" s="668"/>
      <c r="Y31" s="431" t="s">
        <v>1851</v>
      </c>
      <c r="Z31" s="431" t="s">
        <v>646</v>
      </c>
      <c r="AA31" s="434" t="s">
        <v>2007</v>
      </c>
    </row>
    <row r="32" spans="1:29" ht="15.6" customHeight="1">
      <c r="A32" s="587"/>
      <c r="B32" s="452"/>
      <c r="C32" s="410"/>
      <c r="D32" s="411"/>
      <c r="E32" s="411"/>
      <c r="F32" s="411"/>
      <c r="G32" s="411"/>
      <c r="H32" s="348"/>
      <c r="I32" s="363"/>
      <c r="J32" s="893"/>
      <c r="K32" s="894"/>
      <c r="L32" s="49" t="s">
        <v>603</v>
      </c>
      <c r="M32" s="547">
        <v>21</v>
      </c>
      <c r="N32" s="1067"/>
      <c r="O32" s="1068"/>
      <c r="P32" s="1069"/>
      <c r="Q32" s="352"/>
      <c r="R32" s="1070" t="s">
        <v>1924</v>
      </c>
      <c r="S32" s="1071"/>
      <c r="T32" s="408"/>
      <c r="U32" s="439"/>
      <c r="W32" s="634"/>
      <c r="X32" s="629"/>
      <c r="Y32" s="432"/>
      <c r="Z32" s="433"/>
      <c r="AA32" s="603">
        <f>W32+0.00352871*(Z32-20)^2+0.225225*(Z32-20)</f>
        <v>-3.0930160000000004</v>
      </c>
    </row>
    <row r="33" spans="1:28" ht="17.100000000000001" customHeight="1" thickBot="1">
      <c r="A33" s="588"/>
      <c r="B33" s="453"/>
      <c r="C33" s="412"/>
      <c r="D33" s="413"/>
      <c r="E33" s="413"/>
      <c r="F33" s="413"/>
      <c r="G33" s="413"/>
      <c r="H33" s="349"/>
      <c r="I33" s="363"/>
      <c r="J33" s="895"/>
      <c r="K33" s="896"/>
      <c r="L33" s="583" t="s">
        <v>642</v>
      </c>
      <c r="M33" s="576">
        <f>(2.57452*M32*(M31-1)*1000)/(F26*C26)</f>
        <v>0.73556222444564567</v>
      </c>
      <c r="N33" s="1072">
        <f>(2.57452*N32*(N31-1)*1000)/(F26*C26)</f>
        <v>0</v>
      </c>
      <c r="O33" s="1073"/>
      <c r="P33" s="1074"/>
      <c r="Q33" s="352"/>
      <c r="R33" s="1070" t="s">
        <v>1925</v>
      </c>
      <c r="S33" s="1071"/>
      <c r="T33" s="408"/>
      <c r="U33" s="439"/>
      <c r="W33" s="634"/>
      <c r="X33" s="629"/>
      <c r="Y33" s="432"/>
      <c r="Z33" s="433"/>
      <c r="AA33" s="603">
        <f t="shared" ref="AA33:AA38" si="1">W33+0.00352871*(Z33-20)^2+0.225225*(Z33-20)</f>
        <v>-3.0930160000000004</v>
      </c>
    </row>
    <row r="34" spans="1:28" ht="17.100000000000001" customHeight="1" thickBot="1">
      <c r="A34" s="352"/>
      <c r="B34" s="352"/>
      <c r="C34" s="352"/>
      <c r="D34" s="352"/>
      <c r="E34" s="352"/>
      <c r="F34" s="352"/>
      <c r="G34" s="352"/>
      <c r="H34" s="352"/>
      <c r="I34" s="363"/>
      <c r="J34" s="362" t="s">
        <v>714</v>
      </c>
      <c r="K34" s="362"/>
      <c r="L34" s="678"/>
      <c r="M34" s="362"/>
      <c r="N34" s="362"/>
      <c r="O34" s="362"/>
      <c r="P34" s="28"/>
      <c r="Q34" s="352"/>
      <c r="R34" s="1070" t="s">
        <v>1926</v>
      </c>
      <c r="S34" s="1071"/>
      <c r="T34" s="408"/>
      <c r="U34" s="439"/>
      <c r="W34" s="634"/>
      <c r="X34" s="629"/>
      <c r="Y34" s="432"/>
      <c r="Z34" s="433"/>
      <c r="AA34" s="603">
        <f t="shared" si="1"/>
        <v>-3.0930160000000004</v>
      </c>
    </row>
    <row r="35" spans="1:28" ht="17.100000000000001" customHeight="1">
      <c r="A35" s="884" t="s">
        <v>649</v>
      </c>
      <c r="B35" s="157" t="s">
        <v>2073</v>
      </c>
      <c r="C35" s="157" t="s">
        <v>633</v>
      </c>
      <c r="D35" s="157" t="s">
        <v>2080</v>
      </c>
      <c r="E35" s="157" t="s">
        <v>647</v>
      </c>
      <c r="F35" s="157" t="s">
        <v>646</v>
      </c>
      <c r="G35" s="259" t="s">
        <v>2011</v>
      </c>
      <c r="H35" s="158" t="s">
        <v>651</v>
      </c>
      <c r="I35" s="363"/>
      <c r="J35" s="1108" t="s">
        <v>645</v>
      </c>
      <c r="K35" s="1109"/>
      <c r="L35" s="552" t="s">
        <v>2074</v>
      </c>
      <c r="M35" s="553" t="s">
        <v>646</v>
      </c>
      <c r="N35" s="554" t="s">
        <v>647</v>
      </c>
      <c r="O35" s="555" t="s">
        <v>78</v>
      </c>
      <c r="P35" s="556" t="s">
        <v>605</v>
      </c>
      <c r="Q35" s="352"/>
      <c r="R35" s="1070" t="s">
        <v>1927</v>
      </c>
      <c r="S35" s="1071"/>
      <c r="T35" s="408"/>
      <c r="U35" s="439"/>
      <c r="W35" s="634"/>
      <c r="X35" s="629"/>
      <c r="Y35" s="432"/>
      <c r="Z35" s="433"/>
      <c r="AA35" s="603">
        <f t="shared" si="1"/>
        <v>-3.0930160000000004</v>
      </c>
      <c r="AB35" s="403"/>
    </row>
    <row r="36" spans="1:28" ht="14.45" customHeight="1">
      <c r="A36" s="885"/>
      <c r="B36" s="402" t="s">
        <v>140</v>
      </c>
      <c r="C36" s="139">
        <v>25</v>
      </c>
      <c r="D36" s="402" t="s">
        <v>724</v>
      </c>
      <c r="E36" s="138">
        <v>15</v>
      </c>
      <c r="F36" s="470">
        <v>100</v>
      </c>
      <c r="G36" s="574">
        <f>IFERROR(VLOOKUP(B36,INGREDIENTS!$R$6:$U$171,4,FALSE), "")</f>
        <v>0.11</v>
      </c>
      <c r="H36" s="575">
        <f>IFERROR((VLOOKUP(D36,INGREDIENTS!$AA$6:$AB$14,2,FALSE))*((1.65*(0.000125^($M$31-1))*((1-EXP(-0.04*E36))/4.15))*G36*C36*1000)/($M$32),"")</f>
        <v>13.525419935606081</v>
      </c>
      <c r="I36" s="363"/>
      <c r="J36" s="1110"/>
      <c r="K36" s="920"/>
      <c r="L36" s="428"/>
      <c r="M36" s="44"/>
      <c r="N36" s="45"/>
      <c r="O36" s="46"/>
      <c r="P36" s="557"/>
      <c r="Q36" s="352"/>
      <c r="R36" s="1070" t="s">
        <v>1928</v>
      </c>
      <c r="S36" s="1071"/>
      <c r="T36" s="409">
        <v>1.54</v>
      </c>
      <c r="U36" s="440"/>
      <c r="W36" s="667"/>
      <c r="X36" s="632"/>
      <c r="Y36" s="601"/>
      <c r="Z36" s="602"/>
      <c r="AA36" s="603">
        <f t="shared" si="1"/>
        <v>-3.0930160000000004</v>
      </c>
      <c r="AB36" s="403"/>
    </row>
    <row r="37" spans="1:28" ht="14.45" customHeight="1">
      <c r="A37" s="885"/>
      <c r="B37" s="402" t="s">
        <v>140</v>
      </c>
      <c r="C37" s="139">
        <v>15</v>
      </c>
      <c r="D37" s="402" t="s">
        <v>2570</v>
      </c>
      <c r="E37" s="138">
        <v>15</v>
      </c>
      <c r="F37" s="470">
        <v>80</v>
      </c>
      <c r="G37" s="574">
        <f>IFERROR(VLOOKUP(B37,INGREDIENTS!$R$6:$U$171,4,FALSE), "")</f>
        <v>0.11</v>
      </c>
      <c r="H37" s="575">
        <f>IFERROR((VLOOKUP(D37,INGREDIENTS!$AA$6:$AB$14,2,FALSE))*((1.65*(0.000125^($M$31-1))*((1-EXP(-0.04*E37))/4.15))*G37*C37*1000)/($M$32),"")</f>
        <v>2.7591856668636403</v>
      </c>
      <c r="I37" s="363"/>
      <c r="J37" s="1110"/>
      <c r="K37" s="920"/>
      <c r="L37" s="428"/>
      <c r="M37" s="44"/>
      <c r="N37" s="45"/>
      <c r="O37" s="46"/>
      <c r="P37" s="557"/>
      <c r="Q37" s="352"/>
      <c r="R37" s="1070" t="s">
        <v>1929</v>
      </c>
      <c r="S37" s="1071"/>
      <c r="T37" s="408"/>
      <c r="U37" s="439"/>
      <c r="W37" s="634"/>
      <c r="X37" s="629"/>
      <c r="Y37" s="432"/>
      <c r="Z37" s="433"/>
      <c r="AA37" s="603">
        <f t="shared" si="1"/>
        <v>-3.0930160000000004</v>
      </c>
      <c r="AB37" s="403"/>
    </row>
    <row r="38" spans="1:28" ht="14.45" customHeight="1" thickBot="1">
      <c r="A38" s="885"/>
      <c r="B38" s="402"/>
      <c r="C38" s="139"/>
      <c r="D38" s="402"/>
      <c r="E38" s="138"/>
      <c r="F38" s="470"/>
      <c r="G38" s="574" t="str">
        <f>IFERROR(VLOOKUP(B38,INGREDIENTS!$R$6:$U$171,4,FALSE), "")</f>
        <v/>
      </c>
      <c r="H38" s="575" t="str">
        <f>IFERROR((VLOOKUP(D38,INGREDIENTS!$AA$6:$AB$14,2,FALSE))*((1.65*(0.000125^($M$31-1))*((1-EXP(-0.04*E38))/4.15))*G38*C38*1000)/($M$32),"")</f>
        <v/>
      </c>
      <c r="I38" s="363"/>
      <c r="J38" s="1110"/>
      <c r="K38" s="920"/>
      <c r="L38" s="425"/>
      <c r="M38" s="44"/>
      <c r="N38" s="45"/>
      <c r="O38" s="46"/>
      <c r="P38" s="557"/>
      <c r="Q38" s="352"/>
      <c r="R38" s="1128" t="s">
        <v>1923</v>
      </c>
      <c r="S38" s="1129"/>
      <c r="T38" s="448">
        <f>T28</f>
        <v>7.3096566624756463</v>
      </c>
      <c r="U38" s="449">
        <f>U28</f>
        <v>4.5686393601894801</v>
      </c>
      <c r="W38" s="628"/>
      <c r="X38" s="669"/>
      <c r="Y38" s="599"/>
      <c r="Z38" s="600"/>
      <c r="AA38" s="604">
        <f t="shared" si="1"/>
        <v>-3.0930160000000004</v>
      </c>
      <c r="AB38" s="403"/>
    </row>
    <row r="39" spans="1:28" ht="14.45" customHeight="1" thickBot="1">
      <c r="A39" s="885"/>
      <c r="B39" s="402"/>
      <c r="C39" s="139"/>
      <c r="D39" s="402"/>
      <c r="E39" s="138"/>
      <c r="F39" s="470"/>
      <c r="G39" s="574" t="str">
        <f>IFERROR(VLOOKUP(B39,INGREDIENTS!$R$6:$U$171,4,FALSE), "")</f>
        <v/>
      </c>
      <c r="H39" s="575" t="str">
        <f>IFERROR((VLOOKUP(D39,INGREDIENTS!$AA$6:$AB$14,2,FALSE))*((1.65*(0.000125^($M$31-1))*((1-EXP(-0.04*E39))/4.15))*G39*C39*1000)/($M$32),"")</f>
        <v/>
      </c>
      <c r="I39" s="363"/>
      <c r="J39" s="1110"/>
      <c r="K39" s="920"/>
      <c r="L39" s="425"/>
      <c r="M39" s="44"/>
      <c r="N39" s="45"/>
      <c r="O39" s="46"/>
      <c r="P39" s="557"/>
      <c r="Q39" s="352"/>
      <c r="R39" s="1130"/>
      <c r="S39" s="1131"/>
      <c r="T39" s="611">
        <f>T38*0.96*1000/O3</f>
        <v>389.84835533203449</v>
      </c>
      <c r="U39" s="612">
        <f>U38*0.96*1000/M11</f>
        <v>243.66076587677227</v>
      </c>
      <c r="AB39" s="403"/>
    </row>
    <row r="40" spans="1:28" ht="17.45" customHeight="1" thickBot="1">
      <c r="A40" s="885"/>
      <c r="B40" s="402"/>
      <c r="C40" s="139"/>
      <c r="D40" s="402"/>
      <c r="E40" s="138"/>
      <c r="F40" s="470"/>
      <c r="G40" s="574" t="str">
        <f>IFERROR(VLOOKUP(B40,INGREDIENTS!$R$6:$U$171,4,FALSE), "")</f>
        <v/>
      </c>
      <c r="H40" s="575" t="str">
        <f>IFERROR((VLOOKUP(D40,INGREDIENTS!$AA$6:$AB$14,2,FALSE))*((1.65*(0.000125^($M$31-1))*((1-EXP(-0.04*E40))/4.15))*G40*C40*1000)/($M$32),"")</f>
        <v/>
      </c>
      <c r="I40" s="364"/>
      <c r="J40" s="1110"/>
      <c r="K40" s="920"/>
      <c r="L40" s="425"/>
      <c r="M40" s="44"/>
      <c r="N40" s="45"/>
      <c r="O40" s="46"/>
      <c r="P40" s="557"/>
      <c r="Q40" s="352"/>
      <c r="AB40" s="403"/>
    </row>
    <row r="41" spans="1:28" ht="14.45" customHeight="1">
      <c r="A41" s="885"/>
      <c r="B41" s="402"/>
      <c r="C41" s="139"/>
      <c r="D41" s="402"/>
      <c r="E41" s="138"/>
      <c r="F41" s="470"/>
      <c r="G41" s="574" t="str">
        <f>IFERROR(VLOOKUP(B41,INGREDIENTS!$R$6:$U$171,4,FALSE), "")</f>
        <v/>
      </c>
      <c r="H41" s="575" t="str">
        <f>IFERROR((VLOOKUP(D41,INGREDIENTS!$AA$6:$AB$14,2,FALSE))*((1.65*(0.000125^($M$31-1))*((1-EXP(-0.04*E41))/4.15))*G41*C41*1000)/($M$32),"")</f>
        <v/>
      </c>
      <c r="I41" s="362"/>
      <c r="J41" s="1110"/>
      <c r="K41" s="920"/>
      <c r="L41" s="425"/>
      <c r="M41" s="44"/>
      <c r="N41" s="45"/>
      <c r="O41" s="46"/>
      <c r="P41" s="558"/>
      <c r="Q41" s="352"/>
      <c r="R41" s="1132" t="s">
        <v>675</v>
      </c>
      <c r="S41" s="1133"/>
      <c r="T41" s="1134"/>
      <c r="AB41" s="403"/>
    </row>
    <row r="42" spans="1:28" ht="14.45" customHeight="1">
      <c r="A42" s="885"/>
      <c r="B42" s="402"/>
      <c r="C42" s="139"/>
      <c r="D42" s="402"/>
      <c r="E42" s="138"/>
      <c r="F42" s="470"/>
      <c r="G42" s="574" t="str">
        <f>IFERROR(VLOOKUP(B42,INGREDIENTS!$R$6:$U$171,4,FALSE), "")</f>
        <v/>
      </c>
      <c r="H42" s="575" t="str">
        <f>IFERROR((VLOOKUP(D42,INGREDIENTS!$AA$6:$AB$14,2,FALSE))*((1.65*(0.000125^($M$31-1))*((1-EXP(-0.04*E42))/4.15))*G42*C42*1000)/($M$32),"")</f>
        <v/>
      </c>
      <c r="I42" s="361"/>
      <c r="J42" s="1110"/>
      <c r="K42" s="920"/>
      <c r="L42" s="425"/>
      <c r="M42" s="44"/>
      <c r="N42" s="260"/>
      <c r="O42" s="46"/>
      <c r="P42" s="558"/>
      <c r="Q42" s="352"/>
      <c r="R42" s="1127" t="s">
        <v>676</v>
      </c>
      <c r="S42" s="830"/>
      <c r="T42" s="441"/>
      <c r="AB42" s="403"/>
    </row>
    <row r="43" spans="1:28" ht="14.45" customHeight="1">
      <c r="A43" s="885"/>
      <c r="B43" s="402"/>
      <c r="C43" s="139"/>
      <c r="D43" s="402"/>
      <c r="E43" s="138"/>
      <c r="F43" s="470"/>
      <c r="G43" s="574" t="str">
        <f>IFERROR(VLOOKUP(B43,INGREDIENTS!$R$6:$U$171,4,FALSE), "")</f>
        <v/>
      </c>
      <c r="H43" s="575" t="str">
        <f>IFERROR((VLOOKUP(D43,INGREDIENTS!$AA$6:$AB$14,2,FALSE))*((1.65*(0.000125^($M$31-1))*((1-EXP(-0.04*E43))/4.15))*G43*C43*1000)/($M$32),"")</f>
        <v/>
      </c>
      <c r="I43" s="360"/>
      <c r="J43" s="1110"/>
      <c r="K43" s="920"/>
      <c r="L43" s="425"/>
      <c r="M43" s="44"/>
      <c r="N43" s="684"/>
      <c r="O43" s="46"/>
      <c r="P43" s="558"/>
      <c r="Q43" s="352"/>
      <c r="R43" s="1127" t="s">
        <v>677</v>
      </c>
      <c r="S43" s="830"/>
      <c r="T43" s="442"/>
      <c r="AB43" s="405"/>
    </row>
    <row r="44" spans="1:28" ht="14.45" customHeight="1">
      <c r="A44" s="885"/>
      <c r="B44" s="402"/>
      <c r="C44" s="139"/>
      <c r="D44" s="402"/>
      <c r="E44" s="138"/>
      <c r="F44" s="470"/>
      <c r="G44" s="574" t="str">
        <f>IFERROR(VLOOKUP(B44,INGREDIENTS!$R$6:$U$171,4,FALSE), "")</f>
        <v/>
      </c>
      <c r="H44" s="575" t="str">
        <f>IFERROR((VLOOKUP(D44,INGREDIENTS!$AA$6:$AB$14,2,FALSE))*((1.65*(0.000125^($M$31-1))*((1-EXP(-0.04*E44))/4.15))*G44*C44*1000)/($M$32),"")</f>
        <v/>
      </c>
      <c r="I44" s="360"/>
      <c r="J44" s="1110"/>
      <c r="K44" s="920"/>
      <c r="L44" s="425"/>
      <c r="M44" s="44"/>
      <c r="N44" s="45"/>
      <c r="O44" s="46"/>
      <c r="P44" s="558"/>
      <c r="Q44" s="352"/>
      <c r="R44" s="1127" t="s">
        <v>678</v>
      </c>
      <c r="S44" s="830"/>
      <c r="T44" s="441"/>
      <c r="AB44" s="406"/>
    </row>
    <row r="45" spans="1:28" ht="14.45" customHeight="1">
      <c r="A45" s="885"/>
      <c r="B45" s="402"/>
      <c r="C45" s="139"/>
      <c r="D45" s="402"/>
      <c r="E45" s="138"/>
      <c r="F45" s="470"/>
      <c r="G45" s="574" t="str">
        <f>IFERROR(VLOOKUP(B45,INGREDIENTS!$R$6:$U$171,4,FALSE), "")</f>
        <v/>
      </c>
      <c r="H45" s="575" t="str">
        <f>IFERROR((VLOOKUP(D45,INGREDIENTS!$AA$6:$AB$14,2,FALSE))*((1.65*(0.000125^($M$31-1))*((1-EXP(-0.04*E45))/4.15))*G45*C45*1000)/($M$32),"")</f>
        <v/>
      </c>
      <c r="I45" s="360"/>
      <c r="J45" s="1110"/>
      <c r="K45" s="920"/>
      <c r="L45" s="425"/>
      <c r="M45" s="44"/>
      <c r="N45" s="45"/>
      <c r="O45" s="683"/>
      <c r="P45" s="558"/>
      <c r="Q45" s="352"/>
      <c r="R45" s="1127" t="s">
        <v>679</v>
      </c>
      <c r="S45" s="830"/>
      <c r="T45" s="443" t="s">
        <v>680</v>
      </c>
    </row>
    <row r="46" spans="1:28" ht="18.600000000000001" customHeight="1">
      <c r="A46" s="885"/>
      <c r="B46" s="402"/>
      <c r="C46" s="139"/>
      <c r="D46" s="402"/>
      <c r="E46" s="138"/>
      <c r="F46" s="470"/>
      <c r="G46" s="574" t="str">
        <f>IFERROR(VLOOKUP(B46,INGREDIENTS!$R$6:$U$171,4,FALSE), "")</f>
        <v/>
      </c>
      <c r="H46" s="575" t="str">
        <f>IFERROR((VLOOKUP(D46,INGREDIENTS!$AA$6:$AB$14,2,FALSE))*((1.65*(0.000125^($M$31-1))*((1-EXP(-0.04*E46))/4.15))*G46*C46*1000)/($M$32),"")</f>
        <v/>
      </c>
      <c r="I46" s="360"/>
      <c r="J46" s="1110"/>
      <c r="K46" s="920"/>
      <c r="L46" s="427"/>
      <c r="M46" s="424"/>
      <c r="N46" s="119"/>
      <c r="O46" s="429"/>
      <c r="P46" s="558"/>
      <c r="Q46" s="352"/>
      <c r="R46" s="1127" t="s">
        <v>681</v>
      </c>
      <c r="S46" s="830"/>
      <c r="T46" s="444">
        <f>IF(T45="","",IF(T45="Sucre",(T44-T42)*1000*2.57452,IF(T45="DMS",(T44-T42)*1000*2.66,IF(T45="LMS",(T44-T42)*1000*3.24,IF(T45="Eau",1000*((T42-1)/(T44-1)*T43-T43)/T43)))))</f>
        <v>0</v>
      </c>
    </row>
    <row r="47" spans="1:28" ht="14.45" customHeight="1">
      <c r="A47" s="885"/>
      <c r="B47" s="402"/>
      <c r="C47" s="139"/>
      <c r="D47" s="402"/>
      <c r="E47" s="138"/>
      <c r="F47" s="470"/>
      <c r="G47" s="574" t="str">
        <f>IFERROR(VLOOKUP(B47,INGREDIENTS!$R$6:$U$171,4,FALSE), "")</f>
        <v/>
      </c>
      <c r="H47" s="575" t="str">
        <f>IFERROR((VLOOKUP(D47,INGREDIENTS!$AA$6:$AB$14,2,FALSE))*((1.65*(0.000125^($M$31-1))*((1-EXP(-0.04*E47))/4.15))*G47*C47*1000)/($M$32),"")</f>
        <v/>
      </c>
      <c r="I47" s="352"/>
      <c r="J47" s="1110"/>
      <c r="K47" s="920"/>
      <c r="L47" s="427"/>
      <c r="M47" s="424"/>
      <c r="N47" s="119" t="s">
        <v>623</v>
      </c>
      <c r="O47" s="120" t="s">
        <v>623</v>
      </c>
      <c r="P47" s="559"/>
      <c r="Q47" s="352"/>
      <c r="R47" s="1127" t="s">
        <v>681</v>
      </c>
      <c r="S47" s="830"/>
      <c r="T47" s="445">
        <f>T46*T43</f>
        <v>0</v>
      </c>
    </row>
    <row r="48" spans="1:28" ht="14.45" customHeight="1" thickBot="1">
      <c r="A48" s="885"/>
      <c r="B48" s="402"/>
      <c r="C48" s="139"/>
      <c r="D48" s="402"/>
      <c r="E48" s="138"/>
      <c r="F48" s="470"/>
      <c r="G48" s="574" t="str">
        <f>IFERROR(VLOOKUP(B48,INGREDIENTS!$R$6:$U$171,4,FALSE), "")</f>
        <v/>
      </c>
      <c r="H48" s="575" t="str">
        <f>IFERROR((VLOOKUP(D48,INGREDIENTS!$AA$6:$AB$14,2,FALSE))*((1.65*(0.000125^($M$31-1))*((1-EXP(-0.04*E48))/4.15))*G48*C48*1000)/($M$32),"")</f>
        <v/>
      </c>
      <c r="I48" s="352"/>
      <c r="J48" s="1111"/>
      <c r="K48" s="1112"/>
      <c r="L48" s="560"/>
      <c r="M48" s="561"/>
      <c r="N48" s="562"/>
      <c r="O48" s="563" t="s">
        <v>623</v>
      </c>
      <c r="P48" s="564"/>
      <c r="Q48" s="352"/>
      <c r="R48" s="1127" t="s">
        <v>1920</v>
      </c>
      <c r="S48" s="830"/>
      <c r="T48" s="446">
        <f>SUMPRODUCT(F10:F20,C10:C20)*70/1000/100</f>
        <v>3.1605000000000003</v>
      </c>
    </row>
    <row r="49" spans="1:28" ht="14.45" customHeight="1" thickBot="1">
      <c r="A49" s="885"/>
      <c r="B49" s="402"/>
      <c r="C49" s="139"/>
      <c r="D49" s="402"/>
      <c r="E49" s="138"/>
      <c r="F49" s="470"/>
      <c r="G49" s="574" t="str">
        <f>IFERROR(VLOOKUP(B49,INGREDIENTS!$R$6:$U$171,4,FALSE), "")</f>
        <v/>
      </c>
      <c r="H49" s="575" t="str">
        <f>IFERROR((VLOOKUP(D49,INGREDIENTS!$AA$6:$AB$14,2,FALSE))*((1.65*(0.000125^($M$31-1))*((1-EXP(-0.04*E49))/4.15))*G49*C49*1000)/($M$32),"")</f>
        <v/>
      </c>
      <c r="I49" s="352"/>
      <c r="J49" s="362" t="s">
        <v>714</v>
      </c>
      <c r="K49" s="362"/>
      <c r="L49" s="418"/>
      <c r="N49" s="352"/>
      <c r="O49" s="352"/>
      <c r="P49" s="352"/>
      <c r="Q49" s="352"/>
      <c r="R49" s="1127" t="s">
        <v>1921</v>
      </c>
      <c r="S49" s="830"/>
      <c r="T49" s="447">
        <f>T48/30+1</f>
        <v>1.1053500000000001</v>
      </c>
    </row>
    <row r="50" spans="1:28" ht="15" customHeight="1">
      <c r="A50" s="885"/>
      <c r="B50" s="402"/>
      <c r="C50" s="139"/>
      <c r="D50" s="402"/>
      <c r="E50" s="138"/>
      <c r="F50" s="470"/>
      <c r="G50" s="574" t="str">
        <f>IFERROR(VLOOKUP(B50,INGREDIENTS!$R$6:$U$171,4,FALSE), "")</f>
        <v/>
      </c>
      <c r="H50" s="575" t="str">
        <f>IFERROR((VLOOKUP(D50,INGREDIENTS!$AA$6:$AB$14,2,FALSE))*((1.65*(0.000125^($M$31-1))*((1-EXP(-0.04*E50))/4.15))*G50*C50*1000)/($M$32),"")</f>
        <v/>
      </c>
      <c r="I50" s="352"/>
      <c r="J50" s="1084" t="s">
        <v>655</v>
      </c>
      <c r="K50" s="1085"/>
      <c r="L50" s="550"/>
      <c r="M50" s="551" t="s">
        <v>737</v>
      </c>
      <c r="N50" s="1088" t="s">
        <v>630</v>
      </c>
      <c r="O50" s="1089"/>
      <c r="P50" s="1090"/>
      <c r="Q50" s="352"/>
      <c r="R50" s="304"/>
      <c r="S50" s="384"/>
    </row>
    <row r="51" spans="1:28" ht="14.45" customHeight="1" thickBot="1">
      <c r="A51" s="886"/>
      <c r="B51" s="402"/>
      <c r="C51" s="139"/>
      <c r="D51" s="137"/>
      <c r="E51" s="138"/>
      <c r="F51" s="470"/>
      <c r="G51" s="574" t="str">
        <f>IFERROR(VLOOKUP(B51,INGREDIENTS!$R$6:$U$171,4,FALSE), "")</f>
        <v/>
      </c>
      <c r="H51" s="575" t="str">
        <f>IFERROR((VLOOKUP(D51,INGREDIENTS!$AA$6:$AB$14,2,FALSE))*((1.65*(0.000125^($M$31-1))*((1-EXP(-0.04*E51))/4.15))*G51*C51*1000)/($M$32),"")</f>
        <v/>
      </c>
      <c r="I51" s="352"/>
      <c r="J51" s="1086"/>
      <c r="K51" s="1087"/>
      <c r="L51" s="594" t="s">
        <v>603</v>
      </c>
      <c r="M51" s="538">
        <v>20</v>
      </c>
      <c r="N51" s="1144"/>
      <c r="O51" s="1145"/>
      <c r="P51" s="1146"/>
      <c r="Q51" s="352"/>
      <c r="R51" s="681"/>
      <c r="S51" s="384"/>
    </row>
    <row r="52" spans="1:28" ht="14.45" customHeight="1" thickBot="1">
      <c r="A52" s="160"/>
      <c r="B52" s="161" t="s">
        <v>656</v>
      </c>
      <c r="C52" s="164">
        <f>SUM(C36:C42)</f>
        <v>40</v>
      </c>
      <c r="D52" s="162"/>
      <c r="E52" s="163" t="s">
        <v>2081</v>
      </c>
      <c r="F52" s="522" cm="1">
        <f t="array" ref="F52">SUMPRODUCT(((D36:D51="DH")+(D36:D51="DDH")+(D36:D51="BioDH"))*C36:C51)/B4</f>
        <v>0</v>
      </c>
      <c r="G52" s="464"/>
      <c r="H52" s="165">
        <f>SUM(H36:H51)</f>
        <v>16.284605602469721</v>
      </c>
      <c r="I52" s="352"/>
      <c r="J52" s="1086"/>
      <c r="K52" s="1087"/>
      <c r="L52" s="595" t="s">
        <v>606</v>
      </c>
      <c r="M52" s="548">
        <v>1.0089999999999999</v>
      </c>
      <c r="N52" s="975">
        <v>1.0089999999999999</v>
      </c>
      <c r="O52" s="1093"/>
      <c r="P52" s="1094"/>
      <c r="Q52" s="352"/>
    </row>
    <row r="53" spans="1:28" ht="14.45" customHeight="1" thickBot="1">
      <c r="A53" s="352"/>
      <c r="B53" s="227" t="s">
        <v>2555</v>
      </c>
      <c r="C53" s="352"/>
      <c r="D53" s="352"/>
      <c r="E53" s="352"/>
      <c r="F53" s="352"/>
      <c r="G53" s="352"/>
      <c r="H53" s="352"/>
      <c r="I53" s="352"/>
      <c r="J53" s="1086"/>
      <c r="K53" s="1087"/>
      <c r="L53" s="596" t="s">
        <v>653</v>
      </c>
      <c r="M53" s="573">
        <f>G55</f>
        <v>0.81</v>
      </c>
      <c r="N53" s="1095">
        <f>(N31-M52)/(N31-1)</f>
        <v>1.0089999999999999</v>
      </c>
      <c r="O53" s="1096"/>
      <c r="P53" s="1097"/>
      <c r="Q53" s="352"/>
      <c r="AB53" s="405"/>
    </row>
    <row r="54" spans="1:28" ht="14.45" customHeight="1" thickBot="1">
      <c r="A54" s="1098" t="s">
        <v>657</v>
      </c>
      <c r="B54" s="454" t="s">
        <v>2073</v>
      </c>
      <c r="C54" s="455" t="s">
        <v>752</v>
      </c>
      <c r="D54" s="454" t="s">
        <v>2075</v>
      </c>
      <c r="E54" s="454" t="s">
        <v>69</v>
      </c>
      <c r="F54" s="454" t="s">
        <v>70</v>
      </c>
      <c r="G54" s="520" t="s">
        <v>658</v>
      </c>
      <c r="H54" s="456"/>
      <c r="I54" s="352"/>
      <c r="J54" s="1086"/>
      <c r="K54" s="1087"/>
      <c r="L54" s="594" t="s">
        <v>659</v>
      </c>
      <c r="M54" s="549">
        <f>(76.08*(M31-M52)/(1.775-M31))*(M52/0.794)</f>
        <v>7.1033082437482369</v>
      </c>
      <c r="N54" s="1100">
        <f>(76.08*(N31-N52)/(1.775-N31))*(N52/0.794)</f>
        <v>-54.958386830808514</v>
      </c>
      <c r="O54" s="1101"/>
      <c r="P54" s="1102"/>
      <c r="Q54" s="352"/>
      <c r="AB54" s="404"/>
    </row>
    <row r="55" spans="1:28" ht="14.45" customHeight="1" thickBot="1">
      <c r="A55" s="1099"/>
      <c r="B55" s="350" t="s">
        <v>1472</v>
      </c>
      <c r="C55" s="293" t="s">
        <v>735</v>
      </c>
      <c r="D55" s="240">
        <v>16</v>
      </c>
      <c r="E55" s="240">
        <f>IFERROR(VLOOKUP(B55,INGREDIENTS!$AF$6:$AT$401,7,FALSE),"")</f>
        <v>15</v>
      </c>
      <c r="F55" s="240">
        <f>IFERROR(VLOOKUP(B55,INGREDIENTS!$AF$6:$AT$401,8,FALSE),"")</f>
        <v>20</v>
      </c>
      <c r="G55" s="414">
        <f>IFERROR(VLOOKUP(B55,INGREDIENTS!$AF$6:$AT$401,6,FALSE),"")</f>
        <v>0.81</v>
      </c>
      <c r="H55" s="457"/>
      <c r="I55" s="352"/>
      <c r="J55" s="1086"/>
      <c r="K55" s="1087"/>
      <c r="L55" s="1103" t="s">
        <v>2082</v>
      </c>
      <c r="M55" s="1104"/>
      <c r="N55" s="1105">
        <v>2.5</v>
      </c>
      <c r="O55" s="1105"/>
      <c r="P55" s="1106"/>
      <c r="Q55" s="352"/>
      <c r="AB55" s="405"/>
    </row>
    <row r="56" spans="1:28" ht="14.45" customHeight="1">
      <c r="A56" s="585"/>
      <c r="B56" s="350"/>
      <c r="C56" s="293"/>
      <c r="D56" s="240"/>
      <c r="E56" s="240" t="str">
        <f>IFERROR(VLOOKUP(B56,INGREDIENTS!$AF$6:$AT$401,7,FALSE),"")</f>
        <v/>
      </c>
      <c r="F56" s="240" t="str">
        <f>IFERROR(VLOOKUP(B56,INGREDIENTS!$AF$6:$AT$401,8,FALSE),"")</f>
        <v/>
      </c>
      <c r="G56" s="414" t="str">
        <f>IFERROR(VLOOKUP(B56,INGREDIENTS!$AF$6:$AT$401,6,FALSE),"")</f>
        <v/>
      </c>
      <c r="H56" s="457"/>
      <c r="I56" s="352"/>
      <c r="J56" s="1086"/>
      <c r="K56" s="1087"/>
      <c r="L56" s="958" t="s">
        <v>661</v>
      </c>
      <c r="M56" s="1107"/>
      <c r="N56" s="1113" t="s">
        <v>662</v>
      </c>
      <c r="O56" s="1114"/>
      <c r="P56" s="607" t="s">
        <v>721</v>
      </c>
      <c r="Q56" s="352"/>
      <c r="AB56" s="406"/>
    </row>
    <row r="57" spans="1:28" ht="14.45" customHeight="1" thickBot="1">
      <c r="A57" s="585"/>
      <c r="B57" s="350"/>
      <c r="C57" s="293"/>
      <c r="D57" s="240"/>
      <c r="E57" s="240" t="str">
        <f>IFERROR(VLOOKUP(B57,INGREDIENTS!$AF$6:$AT$401,7,FALSE),"")</f>
        <v/>
      </c>
      <c r="F57" s="240" t="str">
        <f>IFERROR(VLOOKUP(B57,INGREDIENTS!$AF$6:$AT$401,8,FALSE),"")</f>
        <v/>
      </c>
      <c r="G57" s="414" t="str">
        <f>IFERROR(VLOOKUP(B57,INGREDIENTS!$AF$6:$AT$401,6,FALSE),"")</f>
        <v/>
      </c>
      <c r="H57" s="457"/>
      <c r="I57" s="352"/>
      <c r="J57" s="1086"/>
      <c r="K57" s="963"/>
      <c r="L57" s="1117">
        <f>N55*3.941-2.804</f>
        <v>7.0484999999999989</v>
      </c>
      <c r="M57" s="1118"/>
      <c r="N57" s="1119">
        <f>L57*M51</f>
        <v>140.96999999999997</v>
      </c>
      <c r="O57" s="1120"/>
      <c r="P57" s="608">
        <v>1</v>
      </c>
      <c r="Q57" s="352"/>
      <c r="AB57" s="405"/>
    </row>
    <row r="58" spans="1:28" ht="14.45" customHeight="1" thickBot="1">
      <c r="A58" s="586"/>
      <c r="B58" s="676"/>
      <c r="C58" s="459"/>
      <c r="D58" s="460"/>
      <c r="E58" s="460" t="str">
        <f>IFERROR(VLOOKUP(B58,INGREDIENTS!$AF$6:$AT$401,7,FALSE),"")</f>
        <v/>
      </c>
      <c r="F58" s="460" t="str">
        <f>IFERROR(VLOOKUP(B58,INGREDIENTS!$AF$6:$AT$401,8,FALSE),"")</f>
        <v/>
      </c>
      <c r="G58" s="461" t="str">
        <f>IFERROR(VLOOKUP(B58,INGREDIENTS!$AF$6:$AT$401,6,FALSE),"")</f>
        <v/>
      </c>
      <c r="H58" s="462"/>
      <c r="I58" s="352"/>
      <c r="J58" s="1086"/>
      <c r="K58" s="963"/>
      <c r="L58" s="1121" t="s">
        <v>722</v>
      </c>
      <c r="M58" s="1122"/>
      <c r="N58" s="1123"/>
      <c r="O58" s="569" t="s">
        <v>2078</v>
      </c>
      <c r="P58" s="577">
        <f>L57*0.75*1000/(N57/P57)</f>
        <v>37.500000000000007</v>
      </c>
      <c r="Q58" s="352"/>
    </row>
    <row r="59" spans="1:28" ht="15" customHeight="1" thickBot="1">
      <c r="A59" s="352"/>
      <c r="B59" s="227" t="s">
        <v>2607</v>
      </c>
      <c r="C59" s="352"/>
      <c r="D59" s="352"/>
      <c r="E59" s="352"/>
      <c r="F59" s="352"/>
      <c r="G59" s="352"/>
      <c r="H59" s="352"/>
      <c r="I59" s="352"/>
      <c r="J59" s="1115"/>
      <c r="K59" s="1116"/>
      <c r="L59" s="1124"/>
      <c r="M59" s="1125"/>
      <c r="N59" s="1126"/>
      <c r="O59" s="578" t="s">
        <v>2079</v>
      </c>
      <c r="P59" s="579">
        <f>L57*0.33*1000/(N57/P57)</f>
        <v>16.5</v>
      </c>
      <c r="Q59" s="352"/>
      <c r="U59" s="469"/>
      <c r="V59" s="469"/>
    </row>
    <row r="60" spans="1:28" ht="15" customHeight="1" thickBot="1">
      <c r="A60" s="352"/>
      <c r="B60" s="352"/>
      <c r="C60" s="352"/>
      <c r="D60" s="352"/>
      <c r="E60" s="352"/>
      <c r="F60" s="352"/>
      <c r="G60" s="352"/>
      <c r="H60" s="352"/>
      <c r="I60" s="352"/>
      <c r="J60" s="1083" t="s">
        <v>714</v>
      </c>
      <c r="K60" s="1083"/>
      <c r="L60" s="418"/>
      <c r="M60" s="352"/>
      <c r="N60" s="352"/>
      <c r="O60" s="352"/>
      <c r="P60" s="352"/>
      <c r="Q60" s="352"/>
      <c r="S60" s="384"/>
      <c r="T60" s="236"/>
      <c r="U60" s="691"/>
      <c r="V60" s="236"/>
    </row>
    <row r="61" spans="1:28" ht="15.75">
      <c r="A61" s="352"/>
      <c r="B61" s="675"/>
      <c r="C61" s="352"/>
      <c r="D61" s="352"/>
      <c r="E61" s="352"/>
      <c r="F61" s="352"/>
      <c r="G61" s="352"/>
      <c r="H61" s="352"/>
      <c r="I61" s="352"/>
      <c r="L61" s="352"/>
      <c r="R61" s="384"/>
      <c r="T61" s="236"/>
      <c r="U61" s="691"/>
      <c r="V61" s="236"/>
    </row>
    <row r="62" spans="1:28">
      <c r="A62" s="352"/>
      <c r="B62" s="352"/>
      <c r="C62" s="352"/>
      <c r="D62" s="352"/>
      <c r="E62" s="352"/>
      <c r="F62" s="352"/>
      <c r="G62" s="352"/>
      <c r="H62" s="352"/>
      <c r="I62" s="352"/>
      <c r="J62" s="352"/>
      <c r="K62" s="352"/>
      <c r="L62" s="352"/>
      <c r="M62" s="352"/>
      <c r="N62" s="352"/>
      <c r="O62" s="352"/>
      <c r="P62" s="352"/>
      <c r="R62" s="679"/>
      <c r="S62" s="225"/>
      <c r="T62" s="236"/>
      <c r="U62" s="691"/>
      <c r="V62" s="236"/>
    </row>
    <row r="63" spans="1:28" ht="18">
      <c r="A63" s="352"/>
      <c r="B63" s="468" t="s">
        <v>2406</v>
      </c>
      <c r="C63" s="352"/>
      <c r="D63" s="352"/>
      <c r="E63" s="352"/>
      <c r="F63" s="352"/>
      <c r="G63" s="352"/>
      <c r="H63" s="352"/>
      <c r="I63" s="352"/>
      <c r="J63" s="352"/>
      <c r="K63" s="352"/>
      <c r="L63" s="352"/>
      <c r="M63" s="352"/>
      <c r="N63" s="352"/>
      <c r="O63" s="352"/>
      <c r="P63" s="352"/>
      <c r="R63" s="384"/>
      <c r="S63" s="469"/>
      <c r="T63" s="236"/>
      <c r="U63" s="236"/>
      <c r="V63" s="236"/>
    </row>
    <row r="64" spans="1:28">
      <c r="A64" s="352"/>
      <c r="B64" s="384" t="s">
        <v>2407</v>
      </c>
      <c r="C64" s="352"/>
      <c r="D64" s="352"/>
      <c r="E64" s="352"/>
      <c r="F64" s="352"/>
      <c r="G64" t="s">
        <v>2421</v>
      </c>
      <c r="H64" s="352"/>
      <c r="I64" s="352"/>
      <c r="J64" s="674"/>
      <c r="K64" s="352"/>
      <c r="L64" s="352"/>
      <c r="M64" s="352"/>
      <c r="N64" s="352"/>
      <c r="O64" s="352"/>
      <c r="P64" s="401"/>
      <c r="S64" s="236"/>
      <c r="T64" s="691"/>
      <c r="U64" s="236"/>
      <c r="V64" s="236"/>
    </row>
    <row r="65" spans="1:25">
      <c r="A65" s="352"/>
      <c r="B65" s="687" t="s">
        <v>2408</v>
      </c>
      <c r="C65" s="352"/>
      <c r="D65" s="352"/>
      <c r="E65" s="352"/>
      <c r="F65" s="352"/>
      <c r="G65" t="s">
        <v>2422</v>
      </c>
      <c r="H65" s="352"/>
      <c r="I65" s="352"/>
      <c r="J65" s="674"/>
      <c r="K65" s="352"/>
      <c r="L65" s="352"/>
      <c r="M65" s="352"/>
      <c r="N65" s="352"/>
      <c r="O65" s="352"/>
      <c r="P65" s="401"/>
      <c r="S65" s="236"/>
      <c r="T65" s="691"/>
      <c r="U65" s="236"/>
      <c r="V65" s="236"/>
    </row>
    <row r="66" spans="1:25">
      <c r="B66" s="384" t="s">
        <v>2409</v>
      </c>
      <c r="G66" t="s">
        <v>2423</v>
      </c>
      <c r="J66" s="674"/>
      <c r="P66" s="220"/>
      <c r="R66" s="384"/>
      <c r="S66" s="236"/>
      <c r="T66" s="691"/>
      <c r="U66" s="236"/>
      <c r="V66" s="236"/>
    </row>
    <row r="67" spans="1:25">
      <c r="B67" s="384" t="s">
        <v>2410</v>
      </c>
      <c r="C67" s="375"/>
      <c r="D67" s="375"/>
      <c r="E67" s="375"/>
      <c r="F67" s="375"/>
      <c r="G67" s="223" t="s">
        <v>2424</v>
      </c>
      <c r="J67" s="674"/>
      <c r="P67" s="220"/>
      <c r="R67" s="384"/>
      <c r="S67" s="236"/>
      <c r="T67" s="236"/>
      <c r="U67" s="236"/>
      <c r="V67" s="236"/>
    </row>
    <row r="68" spans="1:25">
      <c r="B68" s="384" t="s">
        <v>2411</v>
      </c>
      <c r="C68" s="375"/>
      <c r="D68" s="375"/>
      <c r="E68" s="375"/>
      <c r="F68" s="375"/>
      <c r="J68" s="674"/>
      <c r="P68" s="222"/>
      <c r="R68" s="680"/>
      <c r="S68" s="680"/>
      <c r="V68" s="18"/>
    </row>
    <row r="69" spans="1:25" ht="18">
      <c r="B69" s="680" t="s">
        <v>2412</v>
      </c>
      <c r="C69" s="375"/>
      <c r="D69" s="375"/>
      <c r="E69" s="375"/>
      <c r="F69" s="375"/>
      <c r="H69" s="375"/>
      <c r="J69" s="674"/>
      <c r="P69" s="222"/>
      <c r="R69" s="677"/>
    </row>
    <row r="70" spans="1:25">
      <c r="B70" s="384" t="s">
        <v>2413</v>
      </c>
      <c r="C70" s="375"/>
      <c r="D70" s="375"/>
      <c r="E70" s="375"/>
      <c r="F70" s="375"/>
      <c r="H70" s="375"/>
      <c r="J70" s="674"/>
      <c r="P70" s="220"/>
      <c r="S70" s="226"/>
      <c r="V70" s="16"/>
    </row>
    <row r="71" spans="1:25">
      <c r="B71" s="680" t="s">
        <v>2414</v>
      </c>
      <c r="C71" s="375"/>
      <c r="D71" s="375"/>
      <c r="E71" s="375"/>
      <c r="F71" s="375"/>
      <c r="H71" s="375"/>
      <c r="S71" s="384"/>
    </row>
    <row r="72" spans="1:25" ht="15" customHeight="1">
      <c r="B72" s="680" t="s">
        <v>2415</v>
      </c>
      <c r="C72" s="375"/>
      <c r="D72" s="375"/>
      <c r="E72" s="375"/>
      <c r="F72" s="375"/>
      <c r="H72" s="375"/>
      <c r="J72" s="1147"/>
      <c r="K72" s="1147"/>
      <c r="L72" s="1147"/>
      <c r="M72" s="1147"/>
      <c r="N72" s="1147"/>
      <c r="O72" s="1147"/>
      <c r="P72" s="677"/>
      <c r="S72" s="384"/>
      <c r="X72" s="384"/>
      <c r="Y72" s="384"/>
    </row>
    <row r="73" spans="1:25" ht="15" customHeight="1">
      <c r="B73" s="688" t="s">
        <v>2416</v>
      </c>
      <c r="C73" s="375"/>
      <c r="D73" s="375"/>
      <c r="E73" s="375"/>
      <c r="F73" s="375"/>
      <c r="J73" s="1147"/>
      <c r="K73" s="1147"/>
      <c r="L73" s="1147"/>
      <c r="M73" s="1147"/>
      <c r="N73" s="1147"/>
      <c r="O73" s="1147"/>
      <c r="P73" s="677"/>
      <c r="S73" s="384"/>
      <c r="Y73" s="384"/>
    </row>
    <row r="74" spans="1:25" ht="15" customHeight="1">
      <c r="B74" s="384"/>
      <c r="C74" s="375"/>
      <c r="D74" s="375"/>
      <c r="E74" s="375"/>
      <c r="F74" s="375"/>
      <c r="J74" s="1147"/>
      <c r="K74" s="1147"/>
      <c r="L74" s="1147"/>
      <c r="M74" s="1147"/>
      <c r="N74" s="1147"/>
      <c r="O74" s="1147"/>
      <c r="P74" s="677"/>
    </row>
    <row r="75" spans="1:25" ht="15" customHeight="1">
      <c r="B75" t="s">
        <v>2420</v>
      </c>
      <c r="C75" s="375"/>
      <c r="D75" s="375"/>
      <c r="E75" s="375"/>
      <c r="F75" s="375"/>
      <c r="J75" s="1147"/>
      <c r="K75" s="1147"/>
      <c r="L75" s="1147"/>
      <c r="M75" s="1147"/>
      <c r="N75" s="1147"/>
      <c r="O75" s="1147"/>
      <c r="P75" s="677"/>
    </row>
    <row r="76" spans="1:25" ht="15" customHeight="1">
      <c r="B76" t="s">
        <v>2417</v>
      </c>
      <c r="C76" s="375"/>
      <c r="D76" s="375"/>
      <c r="E76" s="375"/>
      <c r="F76" s="375"/>
      <c r="J76" s="1147"/>
      <c r="K76" s="1147"/>
      <c r="L76" s="1147"/>
      <c r="M76" s="1147"/>
      <c r="N76" s="1147"/>
      <c r="O76" s="1147"/>
      <c r="P76" s="677"/>
      <c r="R76" s="679"/>
    </row>
    <row r="77" spans="1:25" ht="15" customHeight="1">
      <c r="B77" t="s">
        <v>2418</v>
      </c>
      <c r="C77" s="375"/>
      <c r="D77" s="375"/>
      <c r="E77" s="375"/>
      <c r="F77" s="375"/>
      <c r="J77" s="1147"/>
      <c r="K77" s="1147"/>
      <c r="L77" s="1147"/>
      <c r="M77" s="1147"/>
      <c r="N77" s="1147"/>
      <c r="O77" s="1147"/>
      <c r="R77" s="384"/>
      <c r="S77" s="384"/>
    </row>
    <row r="78" spans="1:25" ht="15" customHeight="1">
      <c r="B78" t="s">
        <v>2419</v>
      </c>
      <c r="C78" s="375"/>
      <c r="D78" s="375"/>
      <c r="E78" s="375"/>
      <c r="F78" s="375"/>
      <c r="J78" s="1147"/>
      <c r="K78" s="1147"/>
      <c r="L78" s="1147"/>
      <c r="M78" s="1147"/>
      <c r="N78" s="1147"/>
      <c r="O78" s="1147"/>
      <c r="R78" s="384"/>
    </row>
    <row r="79" spans="1:25" ht="15" customHeight="1">
      <c r="J79" s="1147"/>
      <c r="K79" s="1147"/>
      <c r="L79" s="1147"/>
      <c r="M79" s="1147"/>
      <c r="N79" s="1147"/>
      <c r="O79" s="1147"/>
      <c r="V79" s="18"/>
    </row>
    <row r="80" spans="1:25" ht="15" customHeight="1">
      <c r="J80" s="1147"/>
      <c r="K80" s="1147"/>
      <c r="L80" s="1147"/>
      <c r="M80" s="1147"/>
      <c r="N80" s="1147"/>
      <c r="O80" s="1147"/>
      <c r="R80" s="679"/>
      <c r="T80" s="226"/>
    </row>
    <row r="81" spans="2:22" ht="15" customHeight="1">
      <c r="J81" s="1147"/>
      <c r="K81" s="1147"/>
      <c r="L81" s="1147"/>
      <c r="M81" s="1147"/>
      <c r="N81" s="1147"/>
      <c r="O81" s="1147"/>
      <c r="V81" s="18"/>
    </row>
    <row r="82" spans="2:22" ht="15" customHeight="1">
      <c r="B82" s="680"/>
      <c r="J82" s="1147"/>
      <c r="K82" s="1147"/>
      <c r="L82" s="1147"/>
      <c r="M82" s="1147"/>
      <c r="N82" s="1147"/>
      <c r="O82" s="1147"/>
    </row>
    <row r="84" spans="2:22">
      <c r="B84" s="680"/>
    </row>
    <row r="85" spans="2:22">
      <c r="S85" s="384"/>
    </row>
    <row r="86" spans="2:22">
      <c r="B86" s="680"/>
    </row>
    <row r="87" spans="2:22" ht="18.75">
      <c r="R87" s="682"/>
    </row>
  </sheetData>
  <mergeCells count="116">
    <mergeCell ref="A21:A23"/>
    <mergeCell ref="O11:O12"/>
    <mergeCell ref="P11:P12"/>
    <mergeCell ref="A1:H1"/>
    <mergeCell ref="J1:P1"/>
    <mergeCell ref="B2:H2"/>
    <mergeCell ref="J2:P2"/>
    <mergeCell ref="C3:H3"/>
    <mergeCell ref="J3:K7"/>
    <mergeCell ref="L3:N3"/>
    <mergeCell ref="M6:N6"/>
    <mergeCell ref="D7:E7"/>
    <mergeCell ref="G7:H7"/>
    <mergeCell ref="N20:P20"/>
    <mergeCell ref="J19:K19"/>
    <mergeCell ref="R3:R4"/>
    <mergeCell ref="Z3:Z4"/>
    <mergeCell ref="D4:E4"/>
    <mergeCell ref="G4:H4"/>
    <mergeCell ref="D5:E5"/>
    <mergeCell ref="G5:H5"/>
    <mergeCell ref="L5:L9"/>
    <mergeCell ref="M5:N5"/>
    <mergeCell ref="D6:E6"/>
    <mergeCell ref="G6:H6"/>
    <mergeCell ref="M7:N7"/>
    <mergeCell ref="R7:R13"/>
    <mergeCell ref="T7:V7"/>
    <mergeCell ref="M8:N8"/>
    <mergeCell ref="R20:U20"/>
    <mergeCell ref="N23:P23"/>
    <mergeCell ref="R23:S23"/>
    <mergeCell ref="R16:T16"/>
    <mergeCell ref="L17:L18"/>
    <mergeCell ref="M17:M18"/>
    <mergeCell ref="N17:P18"/>
    <mergeCell ref="A9:A17"/>
    <mergeCell ref="M9:N9"/>
    <mergeCell ref="J10:K10"/>
    <mergeCell ref="J11:K12"/>
    <mergeCell ref="M12:N12"/>
    <mergeCell ref="J13:K13"/>
    <mergeCell ref="J14:K18"/>
    <mergeCell ref="N14:P14"/>
    <mergeCell ref="N15:P15"/>
    <mergeCell ref="N16:P16"/>
    <mergeCell ref="N21:P21"/>
    <mergeCell ref="R21:S21"/>
    <mergeCell ref="N22:P22"/>
    <mergeCell ref="R22:S22"/>
    <mergeCell ref="L11:L12"/>
    <mergeCell ref="M11:N11"/>
    <mergeCell ref="A18:A20"/>
    <mergeCell ref="T26:T27"/>
    <mergeCell ref="U26:U27"/>
    <mergeCell ref="M27:N27"/>
    <mergeCell ref="O27:P27"/>
    <mergeCell ref="A28:A31"/>
    <mergeCell ref="C28:G28"/>
    <mergeCell ref="M28:N28"/>
    <mergeCell ref="O28:P28"/>
    <mergeCell ref="R28:S28"/>
    <mergeCell ref="L29:P29"/>
    <mergeCell ref="A24:A26"/>
    <mergeCell ref="E24:F24"/>
    <mergeCell ref="R24:S24"/>
    <mergeCell ref="J25:K28"/>
    <mergeCell ref="M25:N25"/>
    <mergeCell ref="O25:P25"/>
    <mergeCell ref="R25:S25"/>
    <mergeCell ref="M26:N26"/>
    <mergeCell ref="O26:P26"/>
    <mergeCell ref="R26:S27"/>
    <mergeCell ref="J30:K33"/>
    <mergeCell ref="N30:P30"/>
    <mergeCell ref="R30:U30"/>
    <mergeCell ref="J20:K24"/>
    <mergeCell ref="W30:AA30"/>
    <mergeCell ref="N31:P31"/>
    <mergeCell ref="N32:P32"/>
    <mergeCell ref="R32:S32"/>
    <mergeCell ref="N33:P33"/>
    <mergeCell ref="R33:S33"/>
    <mergeCell ref="R34:S34"/>
    <mergeCell ref="A35:A51"/>
    <mergeCell ref="J35:K48"/>
    <mergeCell ref="R35:S35"/>
    <mergeCell ref="R36:S36"/>
    <mergeCell ref="R37:S37"/>
    <mergeCell ref="R38:S39"/>
    <mergeCell ref="R41:T41"/>
    <mergeCell ref="R42:S42"/>
    <mergeCell ref="R43:S43"/>
    <mergeCell ref="A54:A55"/>
    <mergeCell ref="N54:P54"/>
    <mergeCell ref="L55:M55"/>
    <mergeCell ref="N55:P55"/>
    <mergeCell ref="L56:M56"/>
    <mergeCell ref="R44:S44"/>
    <mergeCell ref="R45:S45"/>
    <mergeCell ref="R46:S46"/>
    <mergeCell ref="R47:S47"/>
    <mergeCell ref="R48:S48"/>
    <mergeCell ref="R49:S49"/>
    <mergeCell ref="J72:O82"/>
    <mergeCell ref="N56:O56"/>
    <mergeCell ref="J57:K59"/>
    <mergeCell ref="L57:M57"/>
    <mergeCell ref="N57:O57"/>
    <mergeCell ref="L58:N59"/>
    <mergeCell ref="J60:K60"/>
    <mergeCell ref="J50:K56"/>
    <mergeCell ref="N50:P50"/>
    <mergeCell ref="N51:P51"/>
    <mergeCell ref="N52:P52"/>
    <mergeCell ref="N53:P53"/>
  </mergeCells>
  <conditionalFormatting sqref="G6">
    <cfRule type="colorScale" priority="3">
      <colorScale>
        <cfvo type="num" val="0"/>
        <cfvo type="num" val="0.55000000000000004"/>
        <cfvo type="num" val="1"/>
        <color theme="7"/>
        <color rgb="FFFCFCFF"/>
        <color rgb="FF63BE7B"/>
      </colorScale>
    </cfRule>
  </conditionalFormatting>
  <conditionalFormatting sqref="G7">
    <cfRule type="colorScale" priority="2">
      <colorScale>
        <cfvo type="num" val="0"/>
        <cfvo type="num" val="6"/>
        <cfvo type="num" val="11"/>
        <color theme="7"/>
        <color rgb="FFFCFCFF"/>
        <color rgb="FF63BE7B"/>
      </colorScale>
    </cfRule>
  </conditionalFormatting>
  <conditionalFormatting sqref="G4:H4">
    <cfRule type="iconSet" priority="1">
      <iconSet iconSet="5Rating">
        <cfvo type="percent" val="0"/>
        <cfvo type="num" val="3"/>
        <cfvo type="num" val="5"/>
        <cfvo type="num" val="7"/>
        <cfvo type="num" val="9"/>
      </iconSet>
    </cfRule>
  </conditionalFormatting>
  <dataValidations count="1">
    <dataValidation type="list" allowBlank="1" showInputMessage="1" showErrorMessage="1" sqref="T45" xr:uid="{F1834824-9545-47E3-9A7F-F86F6A9928C1}">
      <formula1>"Sucre,DMS,LMS,Eau"</formula1>
    </dataValidation>
  </dataValidations>
  <hyperlinks>
    <hyperlink ref="R17" r:id="rId1" xr:uid="{C1D98761-0DC8-4239-873D-D73FF4E52C00}"/>
    <hyperlink ref="R18" r:id="rId2" xr:uid="{4A02925C-B1F9-48C1-9DE0-9AEA2FA05620}"/>
  </hyperlinks>
  <pageMargins left="0.7" right="0.7" top="0.75" bottom="0.75" header="0.3" footer="0.3"/>
  <pageSetup paperSize="9" orientation="portrait" r:id="rId3"/>
  <drawing r:id="rId4"/>
  <legacyDrawing r:id="rId5"/>
  <extLst>
    <ext xmlns:x14="http://schemas.microsoft.com/office/spreadsheetml/2009/9/main" uri="{CCE6A557-97BC-4b89-ADB6-D9C93CAAB3DF}">
      <x14:dataValidations xmlns:xm="http://schemas.microsoft.com/office/excel/2006/main" count="9">
        <x14:dataValidation type="list" allowBlank="1" showInputMessage="1" showErrorMessage="1" xr:uid="{75A077AC-DFB9-4134-9A5C-8F168CF9E7A1}">
          <x14:formula1>
            <xm:f>STYLES!$B$7:$B$130</xm:f>
          </x14:formula1>
          <xm:sqref>T7:V7</xm:sqref>
        </x14:dataValidation>
        <x14:dataValidation type="list" allowBlank="1" showInputMessage="1" showErrorMessage="1" xr:uid="{742A9FD9-19DD-4676-B308-6098721E505E}">
          <x14:formula1>
            <xm:f>INGREDIENTS!$AA$6:$AA$14</xm:f>
          </x14:formula1>
          <xm:sqref>D36:D51</xm:sqref>
        </x14:dataValidation>
        <x14:dataValidation type="list" allowBlank="1" showInputMessage="1" showErrorMessage="1" xr:uid="{1365F85E-B22E-4F88-9FFC-A79D8CD27F1A}">
          <x14:formula1>
            <xm:f>INGREDIENTS!$AF$6:$AF$401</xm:f>
          </x14:formula1>
          <xm:sqref>B55:B58</xm:sqref>
        </x14:dataValidation>
        <x14:dataValidation type="list" allowBlank="1" showInputMessage="1" showErrorMessage="1" xr:uid="{17D57DEA-854E-46EF-94F4-AA14B2D3CC39}">
          <x14:formula1>
            <xm:f>INGREDIENTS!$R$6:$R$171</xm:f>
          </x14:formula1>
          <xm:sqref>B36:B51</xm:sqref>
        </x14:dataValidation>
        <x14:dataValidation type="list" allowBlank="1" showInputMessage="1" showErrorMessage="1" xr:uid="{E250BA57-B5EF-4BC5-BDDD-CD6824308D3F}">
          <x14:formula1>
            <xm:f>STYLES!$B$7:$B$96</xm:f>
          </x14:formula1>
          <xm:sqref>B3</xm:sqref>
        </x14:dataValidation>
        <x14:dataValidation type="list" allowBlank="1" showInputMessage="1" showErrorMessage="1" xr:uid="{DCEAACAD-1F5E-4387-88E6-0A9E18044F9A}">
          <x14:formula1>
            <xm:f>INGREDIENTS!$CK$5:$CK$26</xm:f>
          </x14:formula1>
          <xm:sqref>L36:L48</xm:sqref>
        </x14:dataValidation>
        <x14:dataValidation type="list" allowBlank="1" showInputMessage="1" showErrorMessage="1" xr:uid="{C55A8519-0C4F-4FF1-AECB-5520843CCC25}">
          <x14:formula1>
            <xm:f>INGREDIENTS!$AV$6:$AV$27</xm:f>
          </x14:formula1>
          <xm:sqref>B29:B33</xm:sqref>
        </x14:dataValidation>
        <x14:dataValidation type="list" allowBlank="1" showInputMessage="1" showErrorMessage="1" xr:uid="{FCF3996E-C6D2-4597-BE26-1AC1F3C165FD}">
          <x14:formula1>
            <xm:f>INGREDIENTS!$I$6:$I$35</xm:f>
          </x14:formula1>
          <xm:sqref>B21:B23</xm:sqref>
        </x14:dataValidation>
        <x14:dataValidation type="list" allowBlank="1" showInputMessage="1" showErrorMessage="1" xr:uid="{C733FF4F-2265-43DC-9B39-2B57E8185C45}">
          <x14:formula1>
            <xm:f>INGREDIENTS!$A$6:$A$109</xm:f>
          </x14:formula1>
          <xm:sqref>B10:B20</xm:sqref>
        </x14:dataValidation>
      </x14:dataValidations>
    </ext>
  </extLst>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90CC59-C593-41EF-8AC9-46FDBDA7A0D1}">
  <dimension ref="A2:CO353"/>
  <sheetViews>
    <sheetView zoomScale="70" zoomScaleNormal="70" workbookViewId="0">
      <pane ySplit="5" topLeftCell="A6" activePane="bottomLeft" state="frozen"/>
      <selection activeCell="AO1" sqref="AO1"/>
      <selection pane="bottomLeft" activeCell="J2" sqref="J2"/>
    </sheetView>
  </sheetViews>
  <sheetFormatPr baseColWidth="10" defaultColWidth="10.85546875" defaultRowHeight="45" customHeight="1"/>
  <cols>
    <col min="1" max="1" width="20.140625" style="12" bestFit="1" customWidth="1"/>
    <col min="2" max="5" width="10.85546875" style="12"/>
    <col min="6" max="7" width="13.140625" style="12" customWidth="1"/>
    <col min="8" max="8" width="12.140625" style="12" customWidth="1"/>
    <col min="9" max="9" width="17.28515625" style="276" customWidth="1"/>
    <col min="10" max="10" width="10.85546875" style="12"/>
    <col min="11" max="11" width="10.5703125" style="12" customWidth="1"/>
    <col min="12" max="12" width="6.42578125" style="12" customWidth="1"/>
    <col min="13" max="15" width="13.140625" style="12" customWidth="1"/>
    <col min="16" max="16" width="12.85546875" style="276" customWidth="1"/>
    <col min="17" max="17" width="10.85546875" style="12"/>
    <col min="18" max="18" width="16.5703125" style="276" customWidth="1"/>
    <col min="19" max="20" width="10.85546875" style="12"/>
    <col min="21" max="21" width="13.28515625" style="12" customWidth="1"/>
    <col min="22" max="22" width="10.85546875" style="12"/>
    <col min="23" max="23" width="21.28515625" style="12" customWidth="1"/>
    <col min="24" max="24" width="25.42578125" style="12" customWidth="1"/>
    <col min="25" max="25" width="15.5703125" style="12" customWidth="1"/>
    <col min="26" max="26" width="10.85546875" style="12"/>
    <col min="27" max="27" width="13.140625" style="12" customWidth="1"/>
    <col min="28" max="28" width="10.85546875" style="12"/>
    <col min="29" max="29" width="33.42578125" style="12" bestFit="1" customWidth="1"/>
    <col min="30" max="30" width="42.5703125" style="12" customWidth="1"/>
    <col min="31" max="31" width="10.85546875" style="12"/>
    <col min="32" max="32" width="13.5703125" style="276" customWidth="1"/>
    <col min="33" max="33" width="10.85546875" style="276"/>
    <col min="34" max="34" width="10.85546875" style="12"/>
    <col min="35" max="36" width="16.7109375" style="12" customWidth="1"/>
    <col min="37" max="37" width="18" style="12" customWidth="1"/>
    <col min="38" max="39" width="10.85546875" style="12"/>
    <col min="40" max="40" width="12.5703125" style="12" customWidth="1"/>
    <col min="41" max="41" width="30.28515625" style="12" customWidth="1"/>
    <col min="42" max="42" width="31.42578125" style="12" customWidth="1"/>
    <col min="43" max="43" width="12.7109375" style="12" customWidth="1"/>
    <col min="44" max="44" width="17" style="12" customWidth="1"/>
    <col min="45" max="45" width="13.85546875" style="12" customWidth="1"/>
    <col min="46" max="46" width="16.140625" style="12" customWidth="1"/>
    <col min="47" max="47" width="10.85546875" style="12"/>
    <col min="48" max="48" width="17.85546875" style="276" bestFit="1" customWidth="1"/>
    <col min="49" max="55" width="10.85546875" style="12"/>
    <col min="56" max="56" width="18.28515625" style="12" customWidth="1"/>
    <col min="57" max="58" width="6.28515625" style="12" customWidth="1"/>
    <col min="59" max="59" width="8.28515625" style="12" customWidth="1"/>
    <col min="60" max="61" width="7.7109375" style="12" customWidth="1"/>
    <col min="62" max="62" width="8.28515625" style="319" customWidth="1"/>
    <col min="63" max="64" width="7.7109375" style="12" customWidth="1"/>
    <col min="65" max="65" width="7.7109375" style="319" customWidth="1"/>
    <col min="66" max="67" width="7.7109375" style="12" customWidth="1"/>
    <col min="68" max="68" width="7.7109375" style="319" customWidth="1"/>
    <col min="69" max="70" width="7.7109375" style="12" customWidth="1"/>
    <col min="71" max="71" width="7.7109375" style="319" customWidth="1"/>
    <col min="72" max="73" width="7.7109375" style="12" customWidth="1"/>
    <col min="74" max="74" width="7.7109375" style="319" customWidth="1"/>
    <col min="75" max="76" width="7.7109375" style="12" customWidth="1"/>
    <col min="77" max="77" width="9.28515625" style="12" customWidth="1"/>
    <col min="78" max="78" width="9.140625" style="12" customWidth="1"/>
    <col min="79" max="79" width="11" style="12" customWidth="1"/>
    <col min="80" max="88" width="10.85546875" style="12"/>
    <col min="89" max="89" width="23.140625" style="12" customWidth="1"/>
    <col min="90" max="90" width="37.85546875" style="12" customWidth="1"/>
    <col min="91" max="91" width="15.28515625" style="12" customWidth="1"/>
    <col min="92" max="16384" width="10.85546875" style="12"/>
  </cols>
  <sheetData>
    <row r="2" spans="1:91" ht="21.75" customHeight="1">
      <c r="G2" s="695"/>
      <c r="H2" s="13"/>
      <c r="Q2" s="13"/>
      <c r="R2" s="274"/>
      <c r="S2" s="13"/>
      <c r="T2" s="13"/>
      <c r="U2" s="13"/>
    </row>
    <row r="3" spans="1:91" ht="45" customHeight="1" thickBot="1">
      <c r="A3" s="1183" t="s">
        <v>828</v>
      </c>
      <c r="B3" s="1184"/>
      <c r="C3" s="1184"/>
      <c r="D3" s="1184"/>
      <c r="E3" s="1184"/>
      <c r="F3" s="714"/>
      <c r="G3" s="714"/>
      <c r="H3" s="14"/>
      <c r="I3" s="1202" t="s">
        <v>829</v>
      </c>
      <c r="J3" s="1203"/>
      <c r="K3" s="1203"/>
      <c r="L3" s="1203"/>
      <c r="M3" s="1203"/>
      <c r="N3" s="1203"/>
      <c r="O3" s="1203"/>
      <c r="P3" s="1203"/>
      <c r="Q3"/>
      <c r="R3" s="1192" t="s">
        <v>833</v>
      </c>
      <c r="S3" s="1193"/>
      <c r="T3" s="1193"/>
      <c r="U3" s="1193"/>
      <c r="V3" s="1193"/>
      <c r="W3" s="1193"/>
      <c r="X3" s="1193"/>
      <c r="Y3" s="1193"/>
      <c r="Z3" s="1193"/>
      <c r="AA3" s="1193"/>
      <c r="AB3" s="1193"/>
      <c r="AC3" s="1193"/>
      <c r="AD3" s="1193"/>
      <c r="AE3" s="265"/>
      <c r="AF3" s="1185" t="s">
        <v>0</v>
      </c>
      <c r="AG3" s="1186"/>
      <c r="AH3" s="1186"/>
      <c r="AI3" s="1186"/>
      <c r="AJ3" s="1186"/>
      <c r="AK3" s="1186"/>
      <c r="AL3" s="1186"/>
      <c r="AM3" s="1186"/>
      <c r="AN3" s="1186"/>
      <c r="AO3" s="1186"/>
      <c r="AP3" s="1186"/>
      <c r="AQ3" s="1186"/>
      <c r="AR3" s="1186"/>
      <c r="AS3" s="1186"/>
      <c r="AT3" s="1186"/>
      <c r="AV3" s="1167" t="s">
        <v>756</v>
      </c>
      <c r="AW3" s="1169"/>
      <c r="AX3" s="1169"/>
      <c r="AY3" s="1169"/>
      <c r="AZ3" s="1169"/>
      <c r="BA3" s="1169"/>
      <c r="BB3" s="1169"/>
      <c r="BC3" s="309"/>
      <c r="BD3" s="1173" t="s">
        <v>883</v>
      </c>
      <c r="BE3" s="1174"/>
      <c r="BF3" s="1174"/>
      <c r="BG3" s="1174"/>
      <c r="BH3" s="1174"/>
      <c r="BI3" s="1174"/>
      <c r="BJ3" s="1174"/>
      <c r="BK3" s="1174"/>
      <c r="BL3" s="1174"/>
      <c r="BM3" s="1174"/>
      <c r="BN3" s="1174"/>
      <c r="BO3" s="1174"/>
      <c r="BP3" s="1174"/>
      <c r="BQ3" s="1174"/>
      <c r="BR3" s="1174"/>
      <c r="BS3" s="1174"/>
      <c r="BT3" s="1174"/>
      <c r="BU3" s="1174"/>
      <c r="BV3" s="1174"/>
      <c r="BW3" s="1174"/>
      <c r="BX3" s="1174"/>
      <c r="BY3" s="1174"/>
      <c r="BZ3" s="1174"/>
      <c r="CA3" s="1174"/>
      <c r="CB3" s="1174"/>
      <c r="CC3" s="1174"/>
      <c r="CD3" s="1174"/>
      <c r="CK3" s="1167" t="s">
        <v>1943</v>
      </c>
      <c r="CL3" s="1168"/>
      <c r="CM3" s="1169"/>
    </row>
    <row r="4" spans="1:91" ht="45" customHeight="1" thickBot="1">
      <c r="A4" s="1152" t="s">
        <v>20</v>
      </c>
      <c r="B4" s="1153"/>
      <c r="C4" s="1153"/>
      <c r="D4" s="1153"/>
      <c r="E4" s="1153"/>
      <c r="F4" s="1153"/>
      <c r="G4" s="1153"/>
      <c r="H4" s="14"/>
      <c r="I4" s="1149" t="s">
        <v>595</v>
      </c>
      <c r="J4" s="1150"/>
      <c r="K4" s="1150"/>
      <c r="L4" s="1150"/>
      <c r="M4" s="1150"/>
      <c r="N4" s="1150"/>
      <c r="O4" s="1150"/>
      <c r="P4" s="1151"/>
      <c r="Q4" s="14"/>
      <c r="R4" s="1189" t="s">
        <v>596</v>
      </c>
      <c r="S4" s="1190"/>
      <c r="T4" s="1190"/>
      <c r="U4" s="1190"/>
      <c r="V4" s="1190"/>
      <c r="W4" s="1190"/>
      <c r="X4" s="1190"/>
      <c r="Y4" s="1191"/>
      <c r="Z4" s="266"/>
      <c r="AA4" s="1196" t="s">
        <v>597</v>
      </c>
      <c r="AB4" s="1197"/>
      <c r="AC4" s="1197"/>
      <c r="AD4" s="1197"/>
      <c r="AE4" s="266"/>
      <c r="AF4" s="1187" t="s">
        <v>64</v>
      </c>
      <c r="AG4" s="1188"/>
      <c r="AH4" s="1188"/>
      <c r="AI4" s="1188"/>
      <c r="AJ4" s="1188"/>
      <c r="AK4" s="1188"/>
      <c r="AL4" s="1188"/>
      <c r="AM4" s="1188"/>
      <c r="AN4" s="1188"/>
      <c r="AO4" s="1188"/>
      <c r="AP4" s="1188"/>
      <c r="AQ4" s="1188"/>
      <c r="AR4" s="1188"/>
      <c r="AS4" s="1188"/>
      <c r="AT4" s="1188"/>
      <c r="AV4" s="1194"/>
      <c r="AW4" s="1195"/>
      <c r="AX4" s="1195"/>
      <c r="AY4" s="1195"/>
      <c r="AZ4" s="1195"/>
      <c r="BA4" s="1195"/>
      <c r="BB4" s="1195"/>
      <c r="BC4" s="309"/>
      <c r="BD4" s="1175" t="s">
        <v>886</v>
      </c>
      <c r="BE4" s="1176"/>
      <c r="BF4" s="1176"/>
      <c r="BG4" s="1176"/>
      <c r="BH4" s="1176"/>
      <c r="BI4" s="1176"/>
      <c r="BJ4" s="1176"/>
      <c r="BK4" s="1176"/>
      <c r="BL4" s="1176"/>
      <c r="BM4" s="1176"/>
      <c r="BN4" s="1176"/>
      <c r="BO4" s="1176"/>
      <c r="BP4" s="1176"/>
      <c r="BQ4" s="1176"/>
      <c r="BR4" s="1176"/>
      <c r="BS4" s="1176"/>
      <c r="BT4" s="1176"/>
      <c r="BU4" s="1176"/>
      <c r="BV4" s="1176"/>
      <c r="BW4" s="1176"/>
      <c r="BX4" s="1176"/>
      <c r="BY4" s="1176"/>
      <c r="BZ4" s="1176"/>
      <c r="CA4" s="1176"/>
      <c r="CB4" s="1176"/>
      <c r="CC4" s="1176"/>
      <c r="CD4" s="1176"/>
      <c r="CE4" s="309"/>
      <c r="CG4" s="309"/>
      <c r="CK4" s="419"/>
      <c r="CL4" s="423" t="s">
        <v>1960</v>
      </c>
      <c r="CM4" s="421" t="s">
        <v>1986</v>
      </c>
    </row>
    <row r="5" spans="1:91" ht="45" customHeight="1" thickBot="1">
      <c r="A5" s="283" t="s">
        <v>1</v>
      </c>
      <c r="B5" s="284" t="s">
        <v>21</v>
      </c>
      <c r="C5" s="285" t="s">
        <v>2</v>
      </c>
      <c r="D5" s="284" t="s">
        <v>22</v>
      </c>
      <c r="E5" s="286" t="s">
        <v>23</v>
      </c>
      <c r="F5" s="286" t="s">
        <v>2523</v>
      </c>
      <c r="G5" s="286" t="s">
        <v>2492</v>
      </c>
      <c r="H5" s="1" t="s">
        <v>56</v>
      </c>
      <c r="I5" s="288" t="s">
        <v>1</v>
      </c>
      <c r="J5" s="289" t="s">
        <v>21</v>
      </c>
      <c r="K5" s="290" t="s">
        <v>2</v>
      </c>
      <c r="L5" s="291" t="s">
        <v>23</v>
      </c>
      <c r="M5" s="291" t="s">
        <v>2012</v>
      </c>
      <c r="N5" s="698" t="s">
        <v>1</v>
      </c>
      <c r="O5" s="698" t="s">
        <v>2492</v>
      </c>
      <c r="P5" s="291" t="s">
        <v>588</v>
      </c>
      <c r="Q5" s="287" t="s">
        <v>56</v>
      </c>
      <c r="R5" s="278" t="s">
        <v>587</v>
      </c>
      <c r="S5" s="279" t="s">
        <v>78</v>
      </c>
      <c r="T5" s="279" t="s">
        <v>840</v>
      </c>
      <c r="U5" s="280" t="s">
        <v>593</v>
      </c>
      <c r="V5" s="279" t="s">
        <v>79</v>
      </c>
      <c r="W5" s="281" t="s">
        <v>588</v>
      </c>
      <c r="X5" s="281" t="s">
        <v>591</v>
      </c>
      <c r="Y5" s="282" t="s">
        <v>592</v>
      </c>
      <c r="Z5" s="20" t="s">
        <v>594</v>
      </c>
      <c r="AA5" s="7" t="s">
        <v>845</v>
      </c>
      <c r="AB5" s="7" t="s">
        <v>846</v>
      </c>
      <c r="AC5" s="7" t="s">
        <v>1939</v>
      </c>
      <c r="AD5" s="7" t="s">
        <v>847</v>
      </c>
      <c r="AE5"/>
      <c r="AF5" s="623" t="s">
        <v>65</v>
      </c>
      <c r="AG5" s="721" t="s">
        <v>1828</v>
      </c>
      <c r="AH5" s="624" t="s">
        <v>1</v>
      </c>
      <c r="AI5" s="625" t="s">
        <v>66</v>
      </c>
      <c r="AJ5" s="625" t="s">
        <v>67</v>
      </c>
      <c r="AK5" s="625" t="s">
        <v>68</v>
      </c>
      <c r="AL5" s="626" t="s">
        <v>69</v>
      </c>
      <c r="AM5" s="626" t="s">
        <v>70</v>
      </c>
      <c r="AN5" s="624" t="s">
        <v>71</v>
      </c>
      <c r="AO5" s="625" t="s">
        <v>601</v>
      </c>
      <c r="AP5" s="626" t="s">
        <v>742</v>
      </c>
      <c r="AQ5" s="626" t="s">
        <v>743</v>
      </c>
      <c r="AR5" s="627" t="s">
        <v>747</v>
      </c>
      <c r="AS5" s="625" t="s">
        <v>748</v>
      </c>
      <c r="AT5" s="625" t="s">
        <v>750</v>
      </c>
      <c r="AV5" s="719" t="s">
        <v>2550</v>
      </c>
      <c r="AW5" s="1206" t="s">
        <v>847</v>
      </c>
      <c r="AX5" s="1206"/>
      <c r="AY5" s="1206" t="s">
        <v>2551</v>
      </c>
      <c r="AZ5" s="1206"/>
      <c r="BA5" s="1206" t="s">
        <v>1939</v>
      </c>
      <c r="BB5" s="1206"/>
      <c r="BC5" s="309"/>
      <c r="BD5" s="326" t="s">
        <v>884</v>
      </c>
      <c r="BE5" s="1180" t="s">
        <v>1156</v>
      </c>
      <c r="BF5" s="1181"/>
      <c r="BG5" s="1182"/>
      <c r="BH5" s="1180" t="s">
        <v>1157</v>
      </c>
      <c r="BI5" s="1181"/>
      <c r="BJ5" s="1182"/>
      <c r="BK5" s="1180" t="s">
        <v>1158</v>
      </c>
      <c r="BL5" s="1181"/>
      <c r="BM5" s="1182"/>
      <c r="BN5" s="1180" t="s">
        <v>1159</v>
      </c>
      <c r="BO5" s="1181"/>
      <c r="BP5" s="1182"/>
      <c r="BQ5" s="1180" t="s">
        <v>1160</v>
      </c>
      <c r="BR5" s="1181"/>
      <c r="BS5" s="1182"/>
      <c r="BT5" s="1180" t="s">
        <v>1161</v>
      </c>
      <c r="BU5" s="1181"/>
      <c r="BV5" s="1182"/>
      <c r="BW5" s="1178" t="s">
        <v>23</v>
      </c>
      <c r="BX5" s="1179"/>
      <c r="BY5" s="327" t="s">
        <v>625</v>
      </c>
      <c r="BZ5" s="327" t="s">
        <v>891</v>
      </c>
      <c r="CA5" s="328" t="s">
        <v>892</v>
      </c>
      <c r="CB5" s="326"/>
      <c r="CC5" s="329"/>
      <c r="CD5" s="329"/>
      <c r="CE5" s="309"/>
      <c r="CF5" s="311" t="s">
        <v>625</v>
      </c>
      <c r="CG5" s="311"/>
      <c r="CH5" s="311"/>
      <c r="CK5" s="325" t="s">
        <v>807</v>
      </c>
      <c r="CL5" s="422" t="s">
        <v>1961</v>
      </c>
      <c r="CM5" s="420"/>
    </row>
    <row r="6" spans="1:91" ht="30" customHeight="1" thickBot="1">
      <c r="A6" s="703" t="s">
        <v>2450</v>
      </c>
      <c r="B6" s="704"/>
      <c r="C6" s="704"/>
      <c r="D6" s="704"/>
      <c r="E6" s="704"/>
      <c r="F6" s="704"/>
      <c r="G6" s="705"/>
      <c r="H6" s="14"/>
      <c r="I6" s="1209" t="s">
        <v>2538</v>
      </c>
      <c r="J6" s="1209"/>
      <c r="K6" s="1209"/>
      <c r="L6" s="1209"/>
      <c r="M6" s="1210" t="s">
        <v>2537</v>
      </c>
      <c r="N6" s="1210"/>
      <c r="O6" s="1210"/>
      <c r="P6" s="1211"/>
      <c r="Q6" s="17"/>
      <c r="R6" s="267" t="s">
        <v>81</v>
      </c>
      <c r="S6" s="22" t="s">
        <v>82</v>
      </c>
      <c r="T6" s="22" t="s">
        <v>841</v>
      </c>
      <c r="U6" s="244">
        <v>0.15</v>
      </c>
      <c r="V6" s="22" t="s">
        <v>83</v>
      </c>
      <c r="W6" s="23" t="s">
        <v>230</v>
      </c>
      <c r="X6" s="23" t="s">
        <v>231</v>
      </c>
      <c r="Y6" s="268" t="s">
        <v>232</v>
      </c>
      <c r="Z6" s="19"/>
      <c r="AA6" s="7" t="s">
        <v>599</v>
      </c>
      <c r="AB6" s="8">
        <v>0.25</v>
      </c>
      <c r="AC6" s="23" t="s">
        <v>741</v>
      </c>
      <c r="AD6" s="23" t="s">
        <v>1933</v>
      </c>
      <c r="AE6" s="236"/>
      <c r="AF6" s="264" t="s">
        <v>2562</v>
      </c>
      <c r="AG6" s="722"/>
      <c r="AH6" s="9" t="s">
        <v>74</v>
      </c>
      <c r="AI6" s="3">
        <v>0.74</v>
      </c>
      <c r="AJ6" s="3">
        <v>0.79</v>
      </c>
      <c r="AK6" s="3">
        <f>IFERROR(AVERAGE(AI6,AJ6),"")</f>
        <v>0.76500000000000001</v>
      </c>
      <c r="AL6" s="4">
        <v>10</v>
      </c>
      <c r="AM6" s="4">
        <v>13</v>
      </c>
      <c r="AN6" s="9" t="s">
        <v>73</v>
      </c>
      <c r="AO6" s="256"/>
      <c r="AP6" s="256"/>
      <c r="AQ6" s="9"/>
      <c r="AR6" s="9"/>
      <c r="AS6" s="9"/>
      <c r="AT6" s="9"/>
      <c r="AV6" s="325" t="s">
        <v>757</v>
      </c>
      <c r="AW6" s="1163" t="s">
        <v>798</v>
      </c>
      <c r="AX6" s="1164"/>
      <c r="AY6" s="1163" t="s">
        <v>800</v>
      </c>
      <c r="AZ6" s="1164"/>
      <c r="BA6" s="1163" t="s">
        <v>799</v>
      </c>
      <c r="BB6" s="1164"/>
      <c r="BC6" s="309"/>
      <c r="BD6" s="331"/>
      <c r="BE6" s="1170" t="s">
        <v>1163</v>
      </c>
      <c r="BF6" s="1171"/>
      <c r="BG6" s="1172"/>
      <c r="BH6" s="1170" t="s">
        <v>1164</v>
      </c>
      <c r="BI6" s="1171"/>
      <c r="BJ6" s="1172"/>
      <c r="BK6" s="1170" t="s">
        <v>1165</v>
      </c>
      <c r="BL6" s="1171"/>
      <c r="BM6" s="1172"/>
      <c r="BN6" s="1170" t="s">
        <v>1166</v>
      </c>
      <c r="BO6" s="1171"/>
      <c r="BP6" s="1172"/>
      <c r="BQ6" s="1170" t="s">
        <v>1167</v>
      </c>
      <c r="BR6" s="1171"/>
      <c r="BS6" s="1172"/>
      <c r="BT6" s="1170" t="s">
        <v>1168</v>
      </c>
      <c r="BU6" s="1171"/>
      <c r="BV6" s="1172"/>
      <c r="BW6" s="1165"/>
      <c r="BX6" s="1166"/>
      <c r="BY6" s="332" t="s">
        <v>890</v>
      </c>
      <c r="BZ6" s="333"/>
      <c r="CA6" s="334"/>
      <c r="CB6" s="335"/>
      <c r="CC6" s="336"/>
      <c r="CD6" s="336"/>
      <c r="CE6" s="309"/>
      <c r="CF6" s="311" t="s">
        <v>1945</v>
      </c>
      <c r="CG6" s="1161" t="s">
        <v>1944</v>
      </c>
      <c r="CH6" s="1162"/>
      <c r="CK6" s="330" t="s">
        <v>1942</v>
      </c>
      <c r="CL6" s="422" t="s">
        <v>2009</v>
      </c>
      <c r="CM6" s="420"/>
    </row>
    <row r="7" spans="1:91" ht="46.5" customHeight="1" thickBot="1">
      <c r="A7" s="706" t="s">
        <v>2545</v>
      </c>
      <c r="B7" s="707"/>
      <c r="C7" s="1158" t="s">
        <v>2524</v>
      </c>
      <c r="D7" s="1158"/>
      <c r="E7" s="1158"/>
      <c r="F7" s="1158"/>
      <c r="G7" s="1158"/>
      <c r="H7" s="14"/>
      <c r="I7" s="702" t="s">
        <v>2481</v>
      </c>
      <c r="J7" s="10">
        <v>1</v>
      </c>
      <c r="K7" s="11">
        <v>2</v>
      </c>
      <c r="L7" s="11">
        <v>5.6</v>
      </c>
      <c r="M7" s="11">
        <v>384</v>
      </c>
      <c r="N7" s="292" t="s">
        <v>2470</v>
      </c>
      <c r="O7" s="292" t="s">
        <v>2482</v>
      </c>
      <c r="P7" s="292"/>
      <c r="Q7" s="17"/>
      <c r="R7" s="267" t="s">
        <v>84</v>
      </c>
      <c r="S7" s="22" t="s">
        <v>85</v>
      </c>
      <c r="T7" s="22" t="s">
        <v>841</v>
      </c>
      <c r="U7" s="244">
        <v>0.06</v>
      </c>
      <c r="V7" s="22" t="s">
        <v>233</v>
      </c>
      <c r="W7" s="24" t="s">
        <v>100</v>
      </c>
      <c r="X7" s="23" t="s">
        <v>234</v>
      </c>
      <c r="Y7" s="268" t="s">
        <v>235</v>
      </c>
      <c r="Z7" s="19"/>
      <c r="AA7" s="5" t="s">
        <v>731</v>
      </c>
      <c r="AB7" s="8">
        <v>1.1000000000000001</v>
      </c>
      <c r="AC7" s="23" t="s">
        <v>1934</v>
      </c>
      <c r="AD7" s="23" t="s">
        <v>1935</v>
      </c>
      <c r="AE7" s="236"/>
      <c r="AF7" s="264" t="s">
        <v>1184</v>
      </c>
      <c r="AG7" s="722" t="s">
        <v>1185</v>
      </c>
      <c r="AH7" s="9" t="s">
        <v>74</v>
      </c>
      <c r="AI7" s="3">
        <v>0.73</v>
      </c>
      <c r="AJ7" s="3">
        <v>0.75</v>
      </c>
      <c r="AK7" s="3">
        <v>0.74</v>
      </c>
      <c r="AL7" s="4">
        <v>16.666666666666668</v>
      </c>
      <c r="AM7" s="4">
        <v>21.111111111111111</v>
      </c>
      <c r="AN7" s="9" t="s">
        <v>1186</v>
      </c>
      <c r="AO7" s="256"/>
      <c r="AP7" s="256" t="s">
        <v>1518</v>
      </c>
      <c r="AQ7" s="9"/>
      <c r="AR7" s="9"/>
      <c r="AS7" s="257"/>
      <c r="AT7" s="257"/>
      <c r="AV7" s="330" t="s">
        <v>758</v>
      </c>
      <c r="AW7" s="1163" t="s">
        <v>759</v>
      </c>
      <c r="AX7" s="1164"/>
      <c r="AY7" s="1163" t="s">
        <v>1162</v>
      </c>
      <c r="AZ7" s="1164"/>
      <c r="BA7" s="1163" t="s">
        <v>760</v>
      </c>
      <c r="BB7" s="1164"/>
      <c r="BC7" s="309"/>
      <c r="BD7" s="331"/>
      <c r="BE7" s="337" t="s">
        <v>1169</v>
      </c>
      <c r="BF7" s="337" t="s">
        <v>1170</v>
      </c>
      <c r="BG7" s="338" t="s">
        <v>918</v>
      </c>
      <c r="BH7" s="337" t="s">
        <v>1169</v>
      </c>
      <c r="BI7" s="337" t="s">
        <v>1170</v>
      </c>
      <c r="BJ7" s="338" t="s">
        <v>918</v>
      </c>
      <c r="BK7" s="337" t="s">
        <v>1169</v>
      </c>
      <c r="BL7" s="337" t="s">
        <v>1170</v>
      </c>
      <c r="BM7" s="338" t="s">
        <v>918</v>
      </c>
      <c r="BN7" s="337" t="s">
        <v>1169</v>
      </c>
      <c r="BO7" s="337" t="s">
        <v>1170</v>
      </c>
      <c r="BP7" s="338" t="s">
        <v>918</v>
      </c>
      <c r="BQ7" s="337" t="s">
        <v>1169</v>
      </c>
      <c r="BR7" s="337" t="s">
        <v>1170</v>
      </c>
      <c r="BS7" s="338" t="s">
        <v>918</v>
      </c>
      <c r="BT7" s="337" t="s">
        <v>1169</v>
      </c>
      <c r="BU7" s="337" t="s">
        <v>1170</v>
      </c>
      <c r="BV7" s="338" t="s">
        <v>918</v>
      </c>
      <c r="BW7" s="339" t="s">
        <v>887</v>
      </c>
      <c r="BX7" s="339" t="s">
        <v>888</v>
      </c>
      <c r="BY7" s="331"/>
      <c r="BZ7" s="331"/>
      <c r="CA7" s="336"/>
      <c r="CB7" s="335"/>
      <c r="CC7" s="336"/>
      <c r="CD7" s="336"/>
      <c r="CE7" s="309"/>
      <c r="CF7" s="311" t="s">
        <v>1946</v>
      </c>
      <c r="CG7" s="1161" t="s">
        <v>1947</v>
      </c>
      <c r="CH7" s="1162"/>
      <c r="CK7" s="330" t="s">
        <v>1963</v>
      </c>
      <c r="CL7" s="422" t="s">
        <v>1964</v>
      </c>
      <c r="CM7" s="420"/>
    </row>
    <row r="8" spans="1:91" ht="45" customHeight="1" thickBot="1">
      <c r="A8" s="694" t="s">
        <v>50</v>
      </c>
      <c r="B8" s="715">
        <v>0.8</v>
      </c>
      <c r="C8" s="715">
        <v>3</v>
      </c>
      <c r="D8" s="715">
        <v>1</v>
      </c>
      <c r="E8" s="715">
        <v>5.7</v>
      </c>
      <c r="F8" s="715">
        <v>300</v>
      </c>
      <c r="G8" s="715"/>
      <c r="H8" s="14"/>
      <c r="I8" s="702" t="s">
        <v>2483</v>
      </c>
      <c r="J8" s="10">
        <v>1</v>
      </c>
      <c r="K8" s="11">
        <v>150</v>
      </c>
      <c r="L8" s="11">
        <v>5.6</v>
      </c>
      <c r="M8" s="11">
        <v>384</v>
      </c>
      <c r="N8" s="292" t="s">
        <v>2470</v>
      </c>
      <c r="O8" s="292" t="s">
        <v>2484</v>
      </c>
      <c r="P8" s="292"/>
      <c r="Q8" s="17"/>
      <c r="R8" s="267" t="s">
        <v>863</v>
      </c>
      <c r="S8" s="22" t="s">
        <v>85</v>
      </c>
      <c r="T8" s="22" t="s">
        <v>841</v>
      </c>
      <c r="U8" s="244">
        <v>8.3000000000000004E-2</v>
      </c>
      <c r="V8" s="22" t="s">
        <v>233</v>
      </c>
      <c r="W8" s="23" t="s">
        <v>853</v>
      </c>
      <c r="X8" s="23" t="s">
        <v>852</v>
      </c>
      <c r="Y8" s="268" t="s">
        <v>855</v>
      </c>
      <c r="Z8" s="15"/>
      <c r="AA8" s="5" t="s">
        <v>732</v>
      </c>
      <c r="AB8" s="6">
        <v>1</v>
      </c>
      <c r="AC8" s="23" t="s">
        <v>1936</v>
      </c>
      <c r="AD8" s="23" t="s">
        <v>730</v>
      </c>
      <c r="AE8" s="236"/>
      <c r="AF8" s="264" t="s">
        <v>1187</v>
      </c>
      <c r="AG8" s="722" t="s">
        <v>1185</v>
      </c>
      <c r="AH8" s="9" t="s">
        <v>74</v>
      </c>
      <c r="AI8" s="3">
        <v>0.73</v>
      </c>
      <c r="AJ8" s="3">
        <v>0.74</v>
      </c>
      <c r="AK8" s="3">
        <v>0.73499999999999999</v>
      </c>
      <c r="AL8" s="4">
        <v>16.666666666666668</v>
      </c>
      <c r="AM8" s="4">
        <v>21.111111111111111</v>
      </c>
      <c r="AN8" s="9" t="s">
        <v>1188</v>
      </c>
      <c r="AO8" s="256"/>
      <c r="AP8" s="256" t="s">
        <v>1519</v>
      </c>
      <c r="AQ8" s="9"/>
      <c r="AR8" s="9"/>
      <c r="AS8" s="9"/>
      <c r="AT8" s="9"/>
      <c r="AV8" s="325" t="s">
        <v>761</v>
      </c>
      <c r="AW8" s="1163" t="s">
        <v>762</v>
      </c>
      <c r="AX8" s="1164"/>
      <c r="AY8" s="1163" t="s">
        <v>763</v>
      </c>
      <c r="AZ8" s="1164"/>
      <c r="BA8" s="1163" t="s">
        <v>764</v>
      </c>
      <c r="BB8" s="1164"/>
      <c r="BC8" s="309"/>
      <c r="BD8" s="331" t="s">
        <v>889</v>
      </c>
      <c r="BE8" s="339">
        <v>0</v>
      </c>
      <c r="BF8" s="339">
        <v>200</v>
      </c>
      <c r="BG8" s="340">
        <f>AVERAGE(BE8:BF8)</f>
        <v>100</v>
      </c>
      <c r="BH8" s="339">
        <v>50</v>
      </c>
      <c r="BI8" s="339">
        <v>350</v>
      </c>
      <c r="BJ8" s="340">
        <f>AVERAGE(BH8:BI8)</f>
        <v>200</v>
      </c>
      <c r="BK8" s="339">
        <v>50</v>
      </c>
      <c r="BL8" s="339">
        <v>150</v>
      </c>
      <c r="BM8" s="340">
        <f>AVERAGE(BK8:BL8)</f>
        <v>100</v>
      </c>
      <c r="BN8" s="339">
        <v>10</v>
      </c>
      <c r="BO8" s="339">
        <v>30</v>
      </c>
      <c r="BP8" s="340">
        <f>AVERAGE(BN8:BO8)</f>
        <v>20</v>
      </c>
      <c r="BQ8" s="339">
        <v>0</v>
      </c>
      <c r="BR8" s="339">
        <v>150</v>
      </c>
      <c r="BS8" s="340">
        <f>AVERAGE(BQ8:BR8)</f>
        <v>75</v>
      </c>
      <c r="BT8" s="339">
        <v>0</v>
      </c>
      <c r="BU8" s="339">
        <v>300</v>
      </c>
      <c r="BV8" s="340">
        <f>AVERAGE(BT8:BU8)</f>
        <v>150</v>
      </c>
      <c r="BW8" s="1178">
        <v>7</v>
      </c>
      <c r="BX8" s="1179"/>
      <c r="BY8" s="331" t="str">
        <f>IFERROR(BH8/BE8,"NA")</f>
        <v>NA</v>
      </c>
      <c r="BZ8" s="341">
        <f>BV8/1.22</f>
        <v>122.95081967213115</v>
      </c>
      <c r="CA8" s="341">
        <f>BZ8-(BK8/1.4+BN8/1.7)</f>
        <v>81.35418101666896</v>
      </c>
      <c r="CB8" s="335"/>
      <c r="CC8" s="336"/>
      <c r="CD8" s="336"/>
      <c r="CE8" s="309"/>
      <c r="CF8" s="311" t="s">
        <v>1949</v>
      </c>
      <c r="CG8" s="1161" t="s">
        <v>1948</v>
      </c>
      <c r="CH8" s="1162"/>
      <c r="CK8" s="330" t="s">
        <v>2001</v>
      </c>
      <c r="CL8" s="422" t="s">
        <v>2002</v>
      </c>
      <c r="CM8" s="420"/>
    </row>
    <row r="9" spans="1:91" ht="45" customHeight="1" thickBot="1">
      <c r="A9" s="694" t="s">
        <v>51</v>
      </c>
      <c r="B9" s="715">
        <v>0.76</v>
      </c>
      <c r="C9" s="715">
        <v>3</v>
      </c>
      <c r="D9" s="715">
        <v>1</v>
      </c>
      <c r="E9" s="715">
        <v>5.79</v>
      </c>
      <c r="F9" s="715">
        <v>300</v>
      </c>
      <c r="G9" s="716" t="s">
        <v>2435</v>
      </c>
      <c r="H9" s="14"/>
      <c r="I9" s="702" t="s">
        <v>2485</v>
      </c>
      <c r="J9" s="10">
        <v>1</v>
      </c>
      <c r="K9" s="11">
        <v>542</v>
      </c>
      <c r="L9" s="11">
        <v>5.6</v>
      </c>
      <c r="M9" s="11">
        <v>384</v>
      </c>
      <c r="N9" s="292" t="s">
        <v>2470</v>
      </c>
      <c r="O9" s="292" t="s">
        <v>2486</v>
      </c>
      <c r="P9" s="292"/>
      <c r="Q9" s="17"/>
      <c r="R9" s="267" t="s">
        <v>86</v>
      </c>
      <c r="S9" s="22" t="s">
        <v>87</v>
      </c>
      <c r="T9" s="22" t="s">
        <v>841</v>
      </c>
      <c r="U9" s="244">
        <v>0.1</v>
      </c>
      <c r="V9" s="22" t="s">
        <v>233</v>
      </c>
      <c r="W9" s="23" t="s">
        <v>236</v>
      </c>
      <c r="X9" s="23" t="s">
        <v>827</v>
      </c>
      <c r="Y9" s="268" t="s">
        <v>237</v>
      </c>
      <c r="Z9" s="19"/>
      <c r="AA9" s="5" t="s">
        <v>724</v>
      </c>
      <c r="AB9" s="6">
        <v>1</v>
      </c>
      <c r="AC9" s="23" t="s">
        <v>1937</v>
      </c>
      <c r="AD9" s="23" t="s">
        <v>729</v>
      </c>
      <c r="AE9" s="236"/>
      <c r="AF9" s="264" t="s">
        <v>1189</v>
      </c>
      <c r="AG9" s="722" t="s">
        <v>1185</v>
      </c>
      <c r="AH9" s="9" t="s">
        <v>74</v>
      </c>
      <c r="AI9" s="3">
        <v>0.73</v>
      </c>
      <c r="AJ9" s="3">
        <v>0.77</v>
      </c>
      <c r="AK9" s="3">
        <v>0.75</v>
      </c>
      <c r="AL9" s="4">
        <v>15.555555555555555</v>
      </c>
      <c r="AM9" s="4">
        <v>22.222222222222221</v>
      </c>
      <c r="AN9" s="9" t="s">
        <v>1190</v>
      </c>
      <c r="AO9" s="256"/>
      <c r="AP9" s="256" t="s">
        <v>1520</v>
      </c>
      <c r="AQ9" s="9"/>
      <c r="AR9" s="9"/>
      <c r="AS9" s="9"/>
      <c r="AT9" s="9"/>
      <c r="AV9" s="325" t="s">
        <v>765</v>
      </c>
      <c r="AW9" s="1163" t="s">
        <v>766</v>
      </c>
      <c r="AX9" s="1164"/>
      <c r="AY9" s="1163" t="s">
        <v>767</v>
      </c>
      <c r="AZ9" s="1164"/>
      <c r="BA9" s="1163" t="s">
        <v>764</v>
      </c>
      <c r="BB9" s="1164"/>
      <c r="BC9" s="309"/>
      <c r="BD9" s="331" t="s">
        <v>885</v>
      </c>
      <c r="BE9" s="1165">
        <v>56.9</v>
      </c>
      <c r="BF9" s="1177"/>
      <c r="BG9" s="1166"/>
      <c r="BH9" s="1165">
        <v>149.5</v>
      </c>
      <c r="BI9" s="1177"/>
      <c r="BJ9" s="1166"/>
      <c r="BK9" s="1165">
        <v>115.9</v>
      </c>
      <c r="BL9" s="1177"/>
      <c r="BM9" s="1166"/>
      <c r="BN9" s="1165">
        <v>18.600000000000001</v>
      </c>
      <c r="BO9" s="1177"/>
      <c r="BP9" s="1166"/>
      <c r="BQ9" s="1165">
        <v>41.5</v>
      </c>
      <c r="BR9" s="1177"/>
      <c r="BS9" s="1166"/>
      <c r="BT9" s="1165">
        <v>308.2</v>
      </c>
      <c r="BU9" s="1177"/>
      <c r="BV9" s="1166"/>
      <c r="BW9" s="1165">
        <v>7.3</v>
      </c>
      <c r="BX9" s="1166"/>
      <c r="BY9" s="342">
        <f>IFERROR(BH9/BE9,"NA")</f>
        <v>2.6274165202108963</v>
      </c>
      <c r="BZ9" s="341">
        <f>BV9/1.22</f>
        <v>0</v>
      </c>
      <c r="CA9" s="341">
        <f>BZ9-(BK9/1.4+BN9/1.7)</f>
        <v>-93.726890756302524</v>
      </c>
      <c r="CB9" s="335"/>
      <c r="CC9" s="336"/>
      <c r="CD9" s="336"/>
      <c r="CE9" s="309"/>
      <c r="CF9" s="311" t="s">
        <v>1951</v>
      </c>
      <c r="CG9" s="1161" t="s">
        <v>1950</v>
      </c>
      <c r="CH9" s="1162"/>
      <c r="CK9" s="330" t="s">
        <v>2003</v>
      </c>
      <c r="CL9" s="422" t="s">
        <v>2004</v>
      </c>
      <c r="CM9" s="420"/>
    </row>
    <row r="10" spans="1:91" ht="45" customHeight="1" thickBot="1">
      <c r="A10" s="694" t="s">
        <v>3</v>
      </c>
      <c r="B10" s="715">
        <v>0.8</v>
      </c>
      <c r="C10" s="715">
        <v>3.7</v>
      </c>
      <c r="D10" s="715">
        <v>1</v>
      </c>
      <c r="E10" s="715">
        <v>5.7</v>
      </c>
      <c r="F10" s="715">
        <v>300</v>
      </c>
      <c r="G10" s="715"/>
      <c r="H10" s="14"/>
      <c r="I10" s="702" t="s">
        <v>2487</v>
      </c>
      <c r="J10" s="10">
        <v>0.99</v>
      </c>
      <c r="K10" s="11">
        <v>225</v>
      </c>
      <c r="L10" s="11"/>
      <c r="M10" s="11">
        <v>384</v>
      </c>
      <c r="N10" s="292" t="s">
        <v>2488</v>
      </c>
      <c r="O10" s="292" t="s">
        <v>2489</v>
      </c>
      <c r="P10" s="292" t="s">
        <v>844</v>
      </c>
      <c r="Q10" s="17"/>
      <c r="R10" s="267" t="s">
        <v>88</v>
      </c>
      <c r="S10" s="22" t="s">
        <v>82</v>
      </c>
      <c r="T10" s="22" t="s">
        <v>841</v>
      </c>
      <c r="U10" s="244">
        <v>0.17</v>
      </c>
      <c r="V10" s="22" t="s">
        <v>233</v>
      </c>
      <c r="W10" s="24" t="s">
        <v>238</v>
      </c>
      <c r="X10" s="23" t="s">
        <v>239</v>
      </c>
      <c r="Y10" s="268" t="s">
        <v>240</v>
      </c>
      <c r="Z10" s="19"/>
      <c r="AA10" s="132" t="s">
        <v>600</v>
      </c>
      <c r="AB10" s="133">
        <v>0.75</v>
      </c>
      <c r="AC10" s="23" t="s">
        <v>1938</v>
      </c>
      <c r="AD10" s="23" t="s">
        <v>728</v>
      </c>
      <c r="AE10" s="236"/>
      <c r="AF10" s="264" t="s">
        <v>1191</v>
      </c>
      <c r="AG10" s="722" t="s">
        <v>1185</v>
      </c>
      <c r="AH10" s="9" t="s">
        <v>74</v>
      </c>
      <c r="AI10" s="3">
        <v>0.69</v>
      </c>
      <c r="AJ10" s="3">
        <v>0.74</v>
      </c>
      <c r="AK10" s="3">
        <v>0.71499999999999997</v>
      </c>
      <c r="AL10" s="4">
        <v>17.777777777777779</v>
      </c>
      <c r="AM10" s="4">
        <v>21.111111111111111</v>
      </c>
      <c r="AN10" s="9" t="s">
        <v>1192</v>
      </c>
      <c r="AO10" s="256"/>
      <c r="AP10" s="256" t="s">
        <v>1521</v>
      </c>
      <c r="AQ10" s="9"/>
      <c r="AR10" s="9"/>
      <c r="AS10" s="9"/>
      <c r="AT10" s="9"/>
      <c r="AV10" s="325" t="s">
        <v>768</v>
      </c>
      <c r="AW10" s="1163" t="s">
        <v>769</v>
      </c>
      <c r="AX10" s="1164"/>
      <c r="AY10" s="1163" t="s">
        <v>770</v>
      </c>
      <c r="AZ10" s="1164"/>
      <c r="BA10" s="1163" t="s">
        <v>764</v>
      </c>
      <c r="BB10" s="1164"/>
      <c r="BC10" s="309"/>
      <c r="BD10" s="326" t="s">
        <v>923</v>
      </c>
      <c r="BE10" s="339">
        <v>0</v>
      </c>
      <c r="BF10" s="339">
        <v>50</v>
      </c>
      <c r="BG10" s="340">
        <v>50</v>
      </c>
      <c r="BH10" s="339">
        <v>75</v>
      </c>
      <c r="BI10" s="339">
        <v>150</v>
      </c>
      <c r="BJ10" s="340">
        <v>75</v>
      </c>
      <c r="BK10" s="339">
        <v>50</v>
      </c>
      <c r="BL10" s="339">
        <v>100</v>
      </c>
      <c r="BM10" s="340">
        <v>60</v>
      </c>
      <c r="BN10" s="339">
        <v>0</v>
      </c>
      <c r="BO10" s="339">
        <v>0</v>
      </c>
      <c r="BP10" s="340">
        <v>0</v>
      </c>
      <c r="BQ10" s="339">
        <v>0</v>
      </c>
      <c r="BR10" s="339">
        <v>100</v>
      </c>
      <c r="BS10" s="340">
        <v>0</v>
      </c>
      <c r="BT10" s="339">
        <v>0</v>
      </c>
      <c r="BU10" s="339">
        <v>50</v>
      </c>
      <c r="BV10" s="340">
        <v>0</v>
      </c>
      <c r="BW10" s="1165"/>
      <c r="BX10" s="1166"/>
      <c r="BY10" s="342" t="str">
        <f t="shared" ref="BY10:BY43" si="0">IFERROR(BH10/BE10,"NA")</f>
        <v>NA</v>
      </c>
      <c r="BZ10" s="341">
        <f t="shared" ref="BZ10:BZ43" si="1">BV10/1.22</f>
        <v>0</v>
      </c>
      <c r="CA10" s="341">
        <f t="shared" ref="CA10:CA43" si="2">BZ10-(BK10/1.4+BN10/1.7)</f>
        <v>-35.714285714285715</v>
      </c>
      <c r="CB10" s="335"/>
      <c r="CC10" s="336"/>
      <c r="CD10" s="336"/>
      <c r="CE10" s="309"/>
      <c r="CF10" s="311" t="s">
        <v>1952</v>
      </c>
      <c r="CG10" s="1161" t="s">
        <v>1953</v>
      </c>
      <c r="CH10" s="1162"/>
      <c r="CK10" s="330" t="s">
        <v>1977</v>
      </c>
      <c r="CL10" s="422" t="s">
        <v>1978</v>
      </c>
      <c r="CM10" s="420"/>
    </row>
    <row r="11" spans="1:91" ht="45" customHeight="1" thickBot="1">
      <c r="A11" s="694" t="s">
        <v>11</v>
      </c>
      <c r="B11" s="715">
        <v>0.72</v>
      </c>
      <c r="C11" s="715">
        <v>3</v>
      </c>
      <c r="D11" s="715">
        <v>1</v>
      </c>
      <c r="E11" s="715">
        <v>5.79</v>
      </c>
      <c r="F11" s="715">
        <v>300</v>
      </c>
      <c r="G11" s="716" t="s">
        <v>2436</v>
      </c>
      <c r="H11" s="14"/>
      <c r="I11" s="702" t="s">
        <v>2490</v>
      </c>
      <c r="J11" s="10">
        <v>0.99</v>
      </c>
      <c r="K11" s="11">
        <v>700</v>
      </c>
      <c r="L11" s="11"/>
      <c r="M11" s="11">
        <v>384</v>
      </c>
      <c r="N11" s="292" t="s">
        <v>2488</v>
      </c>
      <c r="O11" s="292" t="s">
        <v>2491</v>
      </c>
      <c r="P11" s="292" t="s">
        <v>844</v>
      </c>
      <c r="Q11" s="17"/>
      <c r="R11" s="267" t="s">
        <v>89</v>
      </c>
      <c r="S11" s="22" t="s">
        <v>85</v>
      </c>
      <c r="T11" s="22" t="s">
        <v>841</v>
      </c>
      <c r="U11" s="244">
        <v>7.0000000000000007E-2</v>
      </c>
      <c r="V11" s="22" t="s">
        <v>233</v>
      </c>
      <c r="W11" s="24" t="s">
        <v>100</v>
      </c>
      <c r="X11" s="24"/>
      <c r="Y11" s="268" t="s">
        <v>241</v>
      </c>
      <c r="Z11" s="19"/>
      <c r="AA11" s="5" t="s">
        <v>2570</v>
      </c>
      <c r="AB11" s="8">
        <v>0.34</v>
      </c>
      <c r="AC11" s="23" t="s">
        <v>1941</v>
      </c>
      <c r="AD11" s="23" t="s">
        <v>727</v>
      </c>
      <c r="AE11" s="236"/>
      <c r="AF11" s="264" t="s">
        <v>1193</v>
      </c>
      <c r="AG11" s="722" t="s">
        <v>1185</v>
      </c>
      <c r="AH11" s="9" t="s">
        <v>74</v>
      </c>
      <c r="AI11" s="3">
        <v>0.71</v>
      </c>
      <c r="AJ11" s="3">
        <v>0.75</v>
      </c>
      <c r="AK11" s="3">
        <v>0.73</v>
      </c>
      <c r="AL11" s="4">
        <v>16.666666666666668</v>
      </c>
      <c r="AM11" s="4">
        <v>22.222222222222221</v>
      </c>
      <c r="AN11" s="9" t="s">
        <v>1188</v>
      </c>
      <c r="AO11" s="256"/>
      <c r="AP11" s="256" t="s">
        <v>1522</v>
      </c>
      <c r="AQ11" s="9"/>
      <c r="AR11" s="9"/>
      <c r="AS11" s="9"/>
      <c r="AT11" s="9"/>
      <c r="AV11" s="325" t="s">
        <v>771</v>
      </c>
      <c r="AW11" s="1163" t="s">
        <v>772</v>
      </c>
      <c r="AX11" s="1164"/>
      <c r="AY11" s="1163" t="s">
        <v>773</v>
      </c>
      <c r="AZ11" s="1164"/>
      <c r="BA11" s="1163" t="s">
        <v>774</v>
      </c>
      <c r="BB11" s="1164"/>
      <c r="BC11" s="309"/>
      <c r="BD11" s="331" t="s">
        <v>919</v>
      </c>
      <c r="BE11" s="339"/>
      <c r="BF11" s="339"/>
      <c r="BG11" s="340" t="e">
        <f>AVERAGE(BE11:BF11)</f>
        <v>#DIV/0!</v>
      </c>
      <c r="BH11" s="339"/>
      <c r="BI11" s="339"/>
      <c r="BJ11" s="340" t="e">
        <f t="shared" ref="BJ11:BJ74" si="3">AVERAGE(BH11:BI11)</f>
        <v>#DIV/0!</v>
      </c>
      <c r="BK11" s="339"/>
      <c r="BL11" s="339"/>
      <c r="BM11" s="340" t="e">
        <f t="shared" ref="BM11:BM74" si="4">AVERAGE(BK11:BL11)</f>
        <v>#DIV/0!</v>
      </c>
      <c r="BN11" s="339"/>
      <c r="BO11" s="339"/>
      <c r="BP11" s="340" t="e">
        <f t="shared" ref="BP11:BP74" si="5">AVERAGE(BN11:BO11)</f>
        <v>#DIV/0!</v>
      </c>
      <c r="BQ11" s="339"/>
      <c r="BR11" s="339"/>
      <c r="BS11" s="340" t="e">
        <f t="shared" ref="BS11:BS74" si="6">AVERAGE(BQ11:BR11)</f>
        <v>#DIV/0!</v>
      </c>
      <c r="BT11" s="339"/>
      <c r="BU11" s="339"/>
      <c r="BV11" s="340" t="e">
        <f t="shared" ref="BV11:BV74" si="7">AVERAGE(BT11:BU11)</f>
        <v>#DIV/0!</v>
      </c>
      <c r="BW11" s="1165"/>
      <c r="BX11" s="1166"/>
      <c r="BY11" s="342" t="str">
        <f t="shared" si="0"/>
        <v>NA</v>
      </c>
      <c r="BZ11" s="341" t="e">
        <f t="shared" si="1"/>
        <v>#DIV/0!</v>
      </c>
      <c r="CA11" s="341" t="e">
        <f t="shared" si="2"/>
        <v>#DIV/0!</v>
      </c>
      <c r="CB11" s="335"/>
      <c r="CC11" s="336"/>
      <c r="CD11" s="336"/>
      <c r="CE11" s="309"/>
      <c r="CF11" s="311" t="s">
        <v>1954</v>
      </c>
      <c r="CG11" s="1161" t="s">
        <v>1955</v>
      </c>
      <c r="CH11" s="1162"/>
      <c r="CK11" s="330" t="s">
        <v>1987</v>
      </c>
      <c r="CL11" s="422" t="s">
        <v>1965</v>
      </c>
      <c r="CM11" s="420"/>
    </row>
    <row r="12" spans="1:91" ht="45" customHeight="1" thickBot="1">
      <c r="A12" s="706" t="s">
        <v>2544</v>
      </c>
      <c r="B12" s="707"/>
      <c r="C12" s="1158" t="s">
        <v>2525</v>
      </c>
      <c r="D12" s="1158"/>
      <c r="E12" s="1158"/>
      <c r="F12" s="1158"/>
      <c r="G12" s="1158"/>
      <c r="H12" s="14"/>
      <c r="I12" s="1198" t="s">
        <v>2539</v>
      </c>
      <c r="J12" s="1198"/>
      <c r="K12" s="1198"/>
      <c r="L12" s="1198"/>
      <c r="M12" s="1198"/>
      <c r="N12" s="1207" t="s">
        <v>2517</v>
      </c>
      <c r="O12" s="1207"/>
      <c r="P12" s="1208"/>
      <c r="Q12" s="17"/>
      <c r="R12" s="267" t="s">
        <v>90</v>
      </c>
      <c r="S12" s="22" t="s">
        <v>85</v>
      </c>
      <c r="T12" s="22" t="s">
        <v>841</v>
      </c>
      <c r="U12" s="244">
        <v>0.08</v>
      </c>
      <c r="V12" s="21" t="s">
        <v>2552</v>
      </c>
      <c r="W12" s="23" t="s">
        <v>2554</v>
      </c>
      <c r="X12" s="23" t="s">
        <v>2553</v>
      </c>
      <c r="Y12" s="268" t="s">
        <v>242</v>
      </c>
      <c r="Z12" s="19"/>
      <c r="AA12" s="5" t="s">
        <v>1942</v>
      </c>
      <c r="AB12" s="8">
        <v>0</v>
      </c>
      <c r="AC12" s="23" t="s">
        <v>1918</v>
      </c>
      <c r="AD12" s="23" t="s">
        <v>1919</v>
      </c>
      <c r="AE12" s="236"/>
      <c r="AF12" s="264" t="s">
        <v>1194</v>
      </c>
      <c r="AG12" s="722" t="s">
        <v>1185</v>
      </c>
      <c r="AH12" s="9" t="s">
        <v>74</v>
      </c>
      <c r="AI12" s="3">
        <v>0.72</v>
      </c>
      <c r="AJ12" s="3">
        <v>0.76</v>
      </c>
      <c r="AK12" s="3">
        <v>0.74</v>
      </c>
      <c r="AL12" s="4">
        <v>15.555555555555555</v>
      </c>
      <c r="AM12" s="4">
        <v>22.222222222222221</v>
      </c>
      <c r="AN12" s="9" t="s">
        <v>1188</v>
      </c>
      <c r="AO12" s="256"/>
      <c r="AP12" s="256" t="s">
        <v>1523</v>
      </c>
      <c r="AQ12" s="9"/>
      <c r="AR12" s="9"/>
      <c r="AS12" s="9"/>
      <c r="AT12" s="9"/>
      <c r="AV12" s="325" t="s">
        <v>1866</v>
      </c>
      <c r="AW12" s="1163" t="s">
        <v>1867</v>
      </c>
      <c r="AX12" s="1164"/>
      <c r="AY12" s="1163" t="s">
        <v>773</v>
      </c>
      <c r="AZ12" s="1164"/>
      <c r="BA12" s="1163" t="s">
        <v>774</v>
      </c>
      <c r="BB12" s="1164"/>
      <c r="BC12" s="309"/>
      <c r="BD12" s="331" t="s">
        <v>920</v>
      </c>
      <c r="BE12" s="339"/>
      <c r="BF12" s="339"/>
      <c r="BG12" s="340" t="e">
        <f t="shared" ref="BG12:BG74" si="8">AVERAGE(BE12:BF12)</f>
        <v>#DIV/0!</v>
      </c>
      <c r="BH12" s="339"/>
      <c r="BI12" s="339"/>
      <c r="BJ12" s="340" t="e">
        <f t="shared" si="3"/>
        <v>#DIV/0!</v>
      </c>
      <c r="BK12" s="339"/>
      <c r="BL12" s="339"/>
      <c r="BM12" s="340" t="e">
        <f t="shared" si="4"/>
        <v>#DIV/0!</v>
      </c>
      <c r="BN12" s="339"/>
      <c r="BO12" s="339"/>
      <c r="BP12" s="340" t="e">
        <f t="shared" si="5"/>
        <v>#DIV/0!</v>
      </c>
      <c r="BQ12" s="339"/>
      <c r="BR12" s="339"/>
      <c r="BS12" s="340" t="e">
        <f t="shared" si="6"/>
        <v>#DIV/0!</v>
      </c>
      <c r="BT12" s="339"/>
      <c r="BU12" s="339"/>
      <c r="BV12" s="340" t="e">
        <f t="shared" si="7"/>
        <v>#DIV/0!</v>
      </c>
      <c r="BW12" s="1165"/>
      <c r="BX12" s="1166"/>
      <c r="BY12" s="342" t="str">
        <f t="shared" si="0"/>
        <v>NA</v>
      </c>
      <c r="BZ12" s="341" t="e">
        <f>BV12/1.22</f>
        <v>#DIV/0!</v>
      </c>
      <c r="CA12" s="341" t="e">
        <f t="shared" si="2"/>
        <v>#DIV/0!</v>
      </c>
      <c r="CB12" s="335"/>
      <c r="CC12" s="336"/>
      <c r="CD12" s="336"/>
      <c r="CE12" s="309"/>
      <c r="CF12" s="311" t="s">
        <v>1956</v>
      </c>
      <c r="CG12" s="1161" t="s">
        <v>1957</v>
      </c>
      <c r="CH12" s="1162"/>
      <c r="CK12" s="330" t="s">
        <v>1962</v>
      </c>
      <c r="CL12" s="422" t="s">
        <v>1966</v>
      </c>
      <c r="CM12" s="420"/>
    </row>
    <row r="13" spans="1:91" ht="45" customHeight="1" thickBot="1">
      <c r="A13" s="694" t="s">
        <v>49</v>
      </c>
      <c r="B13" s="715">
        <v>0.81</v>
      </c>
      <c r="C13" s="715">
        <v>8</v>
      </c>
      <c r="D13" s="715">
        <v>0.8</v>
      </c>
      <c r="E13" s="715">
        <v>5.7</v>
      </c>
      <c r="F13" s="715">
        <v>300</v>
      </c>
      <c r="G13" s="716" t="s">
        <v>2438</v>
      </c>
      <c r="H13" s="14"/>
      <c r="I13" s="702" t="s">
        <v>842</v>
      </c>
      <c r="J13" s="10">
        <v>1</v>
      </c>
      <c r="K13" s="11"/>
      <c r="L13" s="11">
        <v>5.6</v>
      </c>
      <c r="M13" s="11">
        <v>384</v>
      </c>
      <c r="N13" s="11" t="s">
        <v>2493</v>
      </c>
      <c r="O13" s="11" t="s">
        <v>2494</v>
      </c>
      <c r="P13" s="11"/>
      <c r="Q13" s="17"/>
      <c r="R13" s="267" t="s">
        <v>91</v>
      </c>
      <c r="S13" s="22" t="s">
        <v>87</v>
      </c>
      <c r="T13" s="22" t="s">
        <v>841</v>
      </c>
      <c r="U13" s="244">
        <v>0.1</v>
      </c>
      <c r="V13" s="22" t="s">
        <v>92</v>
      </c>
      <c r="W13" s="23" t="s">
        <v>243</v>
      </c>
      <c r="X13" s="24" t="s">
        <v>244</v>
      </c>
      <c r="Y13" s="269" t="s">
        <v>93</v>
      </c>
      <c r="Z13" s="19"/>
      <c r="AA13" s="7" t="s">
        <v>598</v>
      </c>
      <c r="AB13" s="8">
        <v>0</v>
      </c>
      <c r="AC13" s="23" t="s">
        <v>725</v>
      </c>
      <c r="AD13" s="23" t="s">
        <v>726</v>
      </c>
      <c r="AE13" s="236"/>
      <c r="AF13" s="264" t="s">
        <v>1195</v>
      </c>
      <c r="AG13" s="722" t="s">
        <v>1185</v>
      </c>
      <c r="AH13" s="9" t="s">
        <v>74</v>
      </c>
      <c r="AI13" s="3">
        <v>0.73</v>
      </c>
      <c r="AJ13" s="3">
        <v>0.77</v>
      </c>
      <c r="AK13" s="3">
        <v>0.75</v>
      </c>
      <c r="AL13" s="4">
        <v>15.555555555555555</v>
      </c>
      <c r="AM13" s="4">
        <v>21.111111111111111</v>
      </c>
      <c r="AN13" s="9" t="s">
        <v>1196</v>
      </c>
      <c r="AO13" s="256"/>
      <c r="AP13" s="256" t="s">
        <v>1524</v>
      </c>
      <c r="AQ13" s="9"/>
      <c r="AR13" s="9"/>
      <c r="AS13" s="9"/>
      <c r="AT13" s="9"/>
      <c r="AV13" s="325" t="s">
        <v>775</v>
      </c>
      <c r="AW13" s="1163" t="s">
        <v>776</v>
      </c>
      <c r="AX13" s="1164"/>
      <c r="AY13" s="1163" t="s">
        <v>777</v>
      </c>
      <c r="AZ13" s="1164"/>
      <c r="BA13" s="1163" t="s">
        <v>764</v>
      </c>
      <c r="BB13" s="1164"/>
      <c r="BC13" s="309"/>
      <c r="BD13" s="331" t="s">
        <v>921</v>
      </c>
      <c r="BE13" s="339"/>
      <c r="BF13" s="339"/>
      <c r="BG13" s="340" t="e">
        <f t="shared" si="8"/>
        <v>#DIV/0!</v>
      </c>
      <c r="BH13" s="339"/>
      <c r="BI13" s="339"/>
      <c r="BJ13" s="340" t="e">
        <f t="shared" si="3"/>
        <v>#DIV/0!</v>
      </c>
      <c r="BK13" s="339"/>
      <c r="BL13" s="339"/>
      <c r="BM13" s="340" t="e">
        <f t="shared" si="4"/>
        <v>#DIV/0!</v>
      </c>
      <c r="BN13" s="339"/>
      <c r="BO13" s="339"/>
      <c r="BP13" s="340" t="e">
        <f t="shared" si="5"/>
        <v>#DIV/0!</v>
      </c>
      <c r="BQ13" s="339"/>
      <c r="BR13" s="339"/>
      <c r="BS13" s="340" t="e">
        <f t="shared" si="6"/>
        <v>#DIV/0!</v>
      </c>
      <c r="BT13" s="339"/>
      <c r="BU13" s="339"/>
      <c r="BV13" s="340" t="e">
        <f t="shared" si="7"/>
        <v>#DIV/0!</v>
      </c>
      <c r="BW13" s="1165"/>
      <c r="BX13" s="1166"/>
      <c r="BY13" s="342" t="str">
        <f t="shared" si="0"/>
        <v>NA</v>
      </c>
      <c r="BZ13" s="341" t="e">
        <f t="shared" si="1"/>
        <v>#DIV/0!</v>
      </c>
      <c r="CA13" s="341" t="e">
        <f t="shared" si="2"/>
        <v>#DIV/0!</v>
      </c>
      <c r="CB13" s="335"/>
      <c r="CC13" s="336"/>
      <c r="CD13" s="336"/>
      <c r="CE13" s="309"/>
      <c r="CF13" s="311" t="s">
        <v>1958</v>
      </c>
      <c r="CG13" s="1161" t="s">
        <v>1959</v>
      </c>
      <c r="CH13" s="1162"/>
      <c r="CK13" s="330" t="s">
        <v>1967</v>
      </c>
      <c r="CL13" s="422" t="s">
        <v>1968</v>
      </c>
      <c r="CM13" s="420"/>
    </row>
    <row r="14" spans="1:91" ht="45" customHeight="1" thickBot="1">
      <c r="A14" s="694" t="s">
        <v>19</v>
      </c>
      <c r="B14" s="715">
        <v>0.81</v>
      </c>
      <c r="C14" s="715">
        <v>8.5</v>
      </c>
      <c r="D14" s="715">
        <v>1</v>
      </c>
      <c r="E14" s="715">
        <v>5.7</v>
      </c>
      <c r="F14" s="715">
        <v>300</v>
      </c>
      <c r="G14" s="716"/>
      <c r="H14" s="14"/>
      <c r="I14" s="702" t="s">
        <v>843</v>
      </c>
      <c r="J14" s="10">
        <v>1</v>
      </c>
      <c r="K14" s="11"/>
      <c r="L14" s="11">
        <v>5.6</v>
      </c>
      <c r="M14" s="11">
        <v>365</v>
      </c>
      <c r="N14" s="11" t="s">
        <v>2493</v>
      </c>
      <c r="O14" s="292" t="s">
        <v>2495</v>
      </c>
      <c r="P14" s="11"/>
      <c r="Q14" s="17"/>
      <c r="R14" s="267" t="s">
        <v>94</v>
      </c>
      <c r="S14" s="22" t="s">
        <v>87</v>
      </c>
      <c r="T14" s="22" t="s">
        <v>841</v>
      </c>
      <c r="U14" s="244">
        <v>0.15</v>
      </c>
      <c r="V14" s="22" t="s">
        <v>233</v>
      </c>
      <c r="W14" s="23" t="s">
        <v>245</v>
      </c>
      <c r="X14" s="23" t="s">
        <v>246</v>
      </c>
      <c r="Y14" s="268" t="s">
        <v>247</v>
      </c>
      <c r="Z14" s="19"/>
      <c r="AA14" s="7" t="s">
        <v>1940</v>
      </c>
      <c r="AB14" s="8">
        <v>0</v>
      </c>
      <c r="AC14" s="23" t="s">
        <v>733</v>
      </c>
      <c r="AD14" s="23" t="s">
        <v>734</v>
      </c>
      <c r="AE14" s="277"/>
      <c r="AF14" s="264" t="s">
        <v>1197</v>
      </c>
      <c r="AG14" s="722" t="s">
        <v>1185</v>
      </c>
      <c r="AH14" s="9" t="s">
        <v>74</v>
      </c>
      <c r="AI14" s="3">
        <v>0.74</v>
      </c>
      <c r="AJ14" s="3">
        <v>0.78</v>
      </c>
      <c r="AK14" s="3">
        <v>0.76</v>
      </c>
      <c r="AL14" s="4">
        <v>19.444444444444443</v>
      </c>
      <c r="AM14" s="4">
        <v>26.666666666666668</v>
      </c>
      <c r="AN14" s="9" t="s">
        <v>1198</v>
      </c>
      <c r="AO14" s="256"/>
      <c r="AP14" s="256" t="s">
        <v>1525</v>
      </c>
      <c r="AQ14" s="9"/>
      <c r="AR14" s="9"/>
      <c r="AS14" s="9"/>
      <c r="AT14" s="9"/>
      <c r="AV14" s="325" t="s">
        <v>778</v>
      </c>
      <c r="AW14" s="1163" t="s">
        <v>779</v>
      </c>
      <c r="AX14" s="1164"/>
      <c r="AY14" s="1163" t="s">
        <v>780</v>
      </c>
      <c r="AZ14" s="1164"/>
      <c r="BA14" s="1163" t="s">
        <v>781</v>
      </c>
      <c r="BB14" s="1164"/>
      <c r="BC14" s="309"/>
      <c r="BD14" s="331" t="s">
        <v>922</v>
      </c>
      <c r="BE14" s="339"/>
      <c r="BF14" s="339"/>
      <c r="BG14" s="340" t="e">
        <f t="shared" si="8"/>
        <v>#DIV/0!</v>
      </c>
      <c r="BH14" s="339"/>
      <c r="BI14" s="339"/>
      <c r="BJ14" s="340" t="e">
        <f t="shared" si="3"/>
        <v>#DIV/0!</v>
      </c>
      <c r="BK14" s="339"/>
      <c r="BL14" s="339"/>
      <c r="BM14" s="340" t="e">
        <f t="shared" si="4"/>
        <v>#DIV/0!</v>
      </c>
      <c r="BN14" s="339"/>
      <c r="BO14" s="339"/>
      <c r="BP14" s="340" t="e">
        <f t="shared" si="5"/>
        <v>#DIV/0!</v>
      </c>
      <c r="BQ14" s="339"/>
      <c r="BR14" s="339"/>
      <c r="BS14" s="340" t="e">
        <f t="shared" si="6"/>
        <v>#DIV/0!</v>
      </c>
      <c r="BT14" s="339"/>
      <c r="BU14" s="339"/>
      <c r="BV14" s="340" t="e">
        <f t="shared" si="7"/>
        <v>#DIV/0!</v>
      </c>
      <c r="BW14" s="1165"/>
      <c r="BX14" s="1166"/>
      <c r="BY14" s="342" t="str">
        <f t="shared" si="0"/>
        <v>NA</v>
      </c>
      <c r="BZ14" s="341" t="e">
        <f t="shared" si="1"/>
        <v>#DIV/0!</v>
      </c>
      <c r="CA14" s="341" t="e">
        <f t="shared" si="2"/>
        <v>#DIV/0!</v>
      </c>
      <c r="CB14" s="335"/>
      <c r="CC14" s="336"/>
      <c r="CD14" s="336"/>
      <c r="CE14" s="309"/>
      <c r="CK14" s="330" t="s">
        <v>1988</v>
      </c>
      <c r="CL14" s="422" t="s">
        <v>1990</v>
      </c>
      <c r="CM14" s="420"/>
    </row>
    <row r="15" spans="1:91" ht="45" customHeight="1" thickBot="1">
      <c r="A15" s="694" t="s">
        <v>5</v>
      </c>
      <c r="B15" s="715">
        <v>0.8</v>
      </c>
      <c r="C15" s="715">
        <v>7.1</v>
      </c>
      <c r="D15" s="715">
        <v>1</v>
      </c>
      <c r="E15" s="715">
        <v>5.7</v>
      </c>
      <c r="F15" s="715">
        <v>300</v>
      </c>
      <c r="G15" s="716" t="s">
        <v>2437</v>
      </c>
      <c r="H15" s="14"/>
      <c r="I15" s="1198" t="s">
        <v>2540</v>
      </c>
      <c r="J15" s="1198"/>
      <c r="K15" s="1198"/>
      <c r="L15" s="1198"/>
      <c r="M15" s="1199"/>
      <c r="N15" s="1200" t="s">
        <v>2518</v>
      </c>
      <c r="O15" s="1201"/>
      <c r="P15" s="1201"/>
      <c r="Q15" s="17"/>
      <c r="R15" s="267" t="s">
        <v>95</v>
      </c>
      <c r="S15" s="22" t="s">
        <v>87</v>
      </c>
      <c r="T15" s="22" t="s">
        <v>841</v>
      </c>
      <c r="U15" s="244">
        <v>0.1</v>
      </c>
      <c r="V15" s="22" t="s">
        <v>233</v>
      </c>
      <c r="W15" s="24" t="s">
        <v>248</v>
      </c>
      <c r="X15" s="24"/>
      <c r="Y15" s="268" t="s">
        <v>249</v>
      </c>
      <c r="Z15" s="19"/>
      <c r="AE15" s="19"/>
      <c r="AF15" s="264" t="s">
        <v>1199</v>
      </c>
      <c r="AG15" s="722" t="s">
        <v>1185</v>
      </c>
      <c r="AH15" s="9" t="s">
        <v>74</v>
      </c>
      <c r="AI15" s="3">
        <v>0.74</v>
      </c>
      <c r="AJ15" s="3">
        <v>0.78</v>
      </c>
      <c r="AK15" s="3">
        <v>0.76</v>
      </c>
      <c r="AL15" s="4">
        <v>17.777777777777779</v>
      </c>
      <c r="AM15" s="4">
        <v>23.333333333333332</v>
      </c>
      <c r="AN15" s="9" t="s">
        <v>1188</v>
      </c>
      <c r="AO15" s="256"/>
      <c r="AP15" s="256" t="s">
        <v>1526</v>
      </c>
      <c r="AQ15" s="9"/>
      <c r="AR15" s="9"/>
      <c r="AS15" s="9"/>
      <c r="AT15" s="9"/>
      <c r="AV15" s="325" t="s">
        <v>782</v>
      </c>
      <c r="AW15" s="1163" t="s">
        <v>783</v>
      </c>
      <c r="AX15" s="1164"/>
      <c r="AY15" s="1163" t="s">
        <v>784</v>
      </c>
      <c r="AZ15" s="1164"/>
      <c r="BA15" s="1163" t="s">
        <v>785</v>
      </c>
      <c r="BB15" s="1164"/>
      <c r="BC15" s="309"/>
      <c r="BD15" s="326" t="s">
        <v>924</v>
      </c>
      <c r="BE15" s="339"/>
      <c r="BF15" s="339"/>
      <c r="BG15" s="340" t="e">
        <f t="shared" si="8"/>
        <v>#DIV/0!</v>
      </c>
      <c r="BH15" s="339"/>
      <c r="BI15" s="339"/>
      <c r="BJ15" s="340" t="e">
        <f t="shared" si="3"/>
        <v>#DIV/0!</v>
      </c>
      <c r="BK15" s="339"/>
      <c r="BL15" s="339"/>
      <c r="BM15" s="340" t="e">
        <f t="shared" si="4"/>
        <v>#DIV/0!</v>
      </c>
      <c r="BN15" s="339"/>
      <c r="BO15" s="339"/>
      <c r="BP15" s="340" t="e">
        <f t="shared" si="5"/>
        <v>#DIV/0!</v>
      </c>
      <c r="BQ15" s="339"/>
      <c r="BR15" s="339"/>
      <c r="BS15" s="340" t="e">
        <f t="shared" si="6"/>
        <v>#DIV/0!</v>
      </c>
      <c r="BT15" s="339"/>
      <c r="BU15" s="339"/>
      <c r="BV15" s="340" t="e">
        <f t="shared" si="7"/>
        <v>#DIV/0!</v>
      </c>
      <c r="BW15" s="1165"/>
      <c r="BX15" s="1166"/>
      <c r="BY15" s="342" t="str">
        <f t="shared" si="0"/>
        <v>NA</v>
      </c>
      <c r="BZ15" s="341" t="e">
        <f t="shared" si="1"/>
        <v>#DIV/0!</v>
      </c>
      <c r="CA15" s="341" t="e">
        <f t="shared" si="2"/>
        <v>#DIV/0!</v>
      </c>
      <c r="CB15" s="335"/>
      <c r="CC15" s="336"/>
      <c r="CD15" s="336"/>
      <c r="CE15" s="309"/>
      <c r="CF15" s="310" t="s">
        <v>904</v>
      </c>
      <c r="CG15" s="310"/>
      <c r="CK15" s="330" t="s">
        <v>1991</v>
      </c>
      <c r="CL15" s="422" t="s">
        <v>2403</v>
      </c>
      <c r="CM15" s="420"/>
    </row>
    <row r="16" spans="1:91" ht="45" customHeight="1" thickBot="1">
      <c r="A16" s="706" t="s">
        <v>2533</v>
      </c>
      <c r="B16" s="707"/>
      <c r="C16" s="1159" t="s">
        <v>2526</v>
      </c>
      <c r="D16" s="1159"/>
      <c r="E16" s="1159"/>
      <c r="F16" s="1159"/>
      <c r="G16" s="1159"/>
      <c r="H16" s="14"/>
      <c r="I16" s="702" t="s">
        <v>2496</v>
      </c>
      <c r="J16" s="10">
        <v>1</v>
      </c>
      <c r="K16" s="11"/>
      <c r="L16" s="11"/>
      <c r="M16" s="11">
        <v>384</v>
      </c>
      <c r="N16" s="11" t="s">
        <v>2497</v>
      </c>
      <c r="O16" s="292" t="s">
        <v>2498</v>
      </c>
      <c r="P16" s="292" t="s">
        <v>2499</v>
      </c>
      <c r="Q16" s="17"/>
      <c r="R16" s="267" t="s">
        <v>2427</v>
      </c>
      <c r="S16" s="22" t="s">
        <v>80</v>
      </c>
      <c r="T16" s="22" t="s">
        <v>841</v>
      </c>
      <c r="U16" s="692">
        <v>7.0000000000000007E-2</v>
      </c>
      <c r="V16" s="21" t="s">
        <v>527</v>
      </c>
      <c r="W16" s="23" t="s">
        <v>2428</v>
      </c>
      <c r="X16" s="23" t="s">
        <v>2429</v>
      </c>
      <c r="Y16" s="269" t="s">
        <v>1902</v>
      </c>
      <c r="Z16" s="15"/>
      <c r="AA16" s="416"/>
      <c r="AB16" s="417"/>
      <c r="AC16" s="19"/>
      <c r="AD16" s="19"/>
      <c r="AE16" s="19"/>
      <c r="AF16" s="264" t="s">
        <v>1200</v>
      </c>
      <c r="AG16" s="722" t="s">
        <v>1185</v>
      </c>
      <c r="AH16" s="9" t="s">
        <v>74</v>
      </c>
      <c r="AI16" s="3">
        <v>0.7</v>
      </c>
      <c r="AJ16" s="3">
        <v>0.75</v>
      </c>
      <c r="AK16" s="3">
        <v>0.72499999999999998</v>
      </c>
      <c r="AL16" s="4">
        <v>18.333333333333332</v>
      </c>
      <c r="AM16" s="4">
        <v>21.111111111111111</v>
      </c>
      <c r="AN16" s="9" t="s">
        <v>1188</v>
      </c>
      <c r="AO16" s="256"/>
      <c r="AP16" s="256" t="s">
        <v>1527</v>
      </c>
      <c r="AQ16" s="9"/>
      <c r="AR16" s="9"/>
      <c r="AS16" s="9"/>
      <c r="AT16" s="9"/>
      <c r="AV16" s="325" t="s">
        <v>786</v>
      </c>
      <c r="AW16" s="1163" t="s">
        <v>787</v>
      </c>
      <c r="AX16" s="1164"/>
      <c r="AY16" s="1163" t="s">
        <v>788</v>
      </c>
      <c r="AZ16" s="1164"/>
      <c r="BA16" s="1163" t="s">
        <v>785</v>
      </c>
      <c r="BB16" s="1164"/>
      <c r="BC16" s="309"/>
      <c r="BD16" s="331" t="s">
        <v>925</v>
      </c>
      <c r="BE16" s="339">
        <v>5</v>
      </c>
      <c r="BF16" s="339">
        <v>5</v>
      </c>
      <c r="BG16" s="340">
        <f t="shared" si="8"/>
        <v>5</v>
      </c>
      <c r="BH16" s="339">
        <v>5</v>
      </c>
      <c r="BI16" s="339">
        <v>5</v>
      </c>
      <c r="BJ16" s="340">
        <f t="shared" si="3"/>
        <v>5</v>
      </c>
      <c r="BK16" s="339">
        <v>7</v>
      </c>
      <c r="BL16" s="339">
        <v>7</v>
      </c>
      <c r="BM16" s="340">
        <f t="shared" si="4"/>
        <v>7</v>
      </c>
      <c r="BN16" s="339">
        <v>3</v>
      </c>
      <c r="BO16" s="339">
        <v>3</v>
      </c>
      <c r="BP16" s="340">
        <f t="shared" si="5"/>
        <v>3</v>
      </c>
      <c r="BQ16" s="339">
        <v>2</v>
      </c>
      <c r="BR16" s="339">
        <v>2</v>
      </c>
      <c r="BS16" s="340">
        <f t="shared" si="6"/>
        <v>2</v>
      </c>
      <c r="BT16" s="339">
        <v>25</v>
      </c>
      <c r="BU16" s="339">
        <v>25</v>
      </c>
      <c r="BV16" s="340">
        <f t="shared" si="7"/>
        <v>25</v>
      </c>
      <c r="BW16" s="1165"/>
      <c r="BX16" s="1166"/>
      <c r="BY16" s="342">
        <f t="shared" si="0"/>
        <v>1</v>
      </c>
      <c r="BZ16" s="341">
        <f t="shared" si="1"/>
        <v>20.491803278688526</v>
      </c>
      <c r="CA16" s="341">
        <f t="shared" si="2"/>
        <v>13.727097396335584</v>
      </c>
      <c r="CB16" s="335"/>
      <c r="CC16" s="336"/>
      <c r="CD16" s="336"/>
      <c r="CE16" s="309"/>
      <c r="CF16" s="311" t="s">
        <v>897</v>
      </c>
      <c r="CG16" s="311" t="s">
        <v>902</v>
      </c>
      <c r="CK16" s="330" t="s">
        <v>655</v>
      </c>
      <c r="CL16" s="422" t="s">
        <v>1989</v>
      </c>
      <c r="CM16" s="420"/>
    </row>
    <row r="17" spans="1:93" ht="45" customHeight="1" thickBot="1">
      <c r="A17" s="694" t="s">
        <v>55</v>
      </c>
      <c r="B17" s="715">
        <v>0.75</v>
      </c>
      <c r="C17" s="715">
        <v>6</v>
      </c>
      <c r="D17" s="715">
        <v>1</v>
      </c>
      <c r="E17" s="715">
        <v>5.56</v>
      </c>
      <c r="F17" s="715">
        <v>295</v>
      </c>
      <c r="G17" s="716"/>
      <c r="H17" s="14"/>
      <c r="I17" s="1198" t="s">
        <v>2512</v>
      </c>
      <c r="J17" s="1198"/>
      <c r="K17" s="1198"/>
      <c r="L17" s="1198"/>
      <c r="M17" s="1199"/>
      <c r="N17" s="1200" t="s">
        <v>2522</v>
      </c>
      <c r="O17" s="1201"/>
      <c r="P17" s="1201"/>
      <c r="Q17" s="17"/>
      <c r="R17" s="267" t="s">
        <v>96</v>
      </c>
      <c r="S17" s="22" t="s">
        <v>87</v>
      </c>
      <c r="T17" s="22" t="s">
        <v>841</v>
      </c>
      <c r="U17" s="244">
        <v>0.13</v>
      </c>
      <c r="V17" s="22" t="s">
        <v>233</v>
      </c>
      <c r="W17" s="24" t="s">
        <v>97</v>
      </c>
      <c r="X17" s="23" t="s">
        <v>250</v>
      </c>
      <c r="Y17" s="269" t="s">
        <v>251</v>
      </c>
      <c r="Z17" s="19"/>
      <c r="AA17"/>
      <c r="AB17" s="416"/>
      <c r="AC17" s="19"/>
      <c r="AD17" s="19"/>
      <c r="AE17" s="19"/>
      <c r="AF17" s="264" t="s">
        <v>1201</v>
      </c>
      <c r="AG17" s="722" t="s">
        <v>1185</v>
      </c>
      <c r="AH17" s="9" t="s">
        <v>74</v>
      </c>
      <c r="AI17" s="3">
        <v>0.72</v>
      </c>
      <c r="AJ17" s="3">
        <v>0.76</v>
      </c>
      <c r="AK17" s="3">
        <v>0.74</v>
      </c>
      <c r="AL17" s="4">
        <v>17.777777777777779</v>
      </c>
      <c r="AM17" s="4">
        <v>23.333333333333332</v>
      </c>
      <c r="AN17" s="9" t="s">
        <v>1188</v>
      </c>
      <c r="AO17" s="256"/>
      <c r="AP17" s="256" t="s">
        <v>1528</v>
      </c>
      <c r="AQ17" s="9"/>
      <c r="AR17" s="9"/>
      <c r="AS17" s="9"/>
      <c r="AT17" s="9"/>
      <c r="AV17" s="325" t="s">
        <v>789</v>
      </c>
      <c r="AW17" s="1163" t="s">
        <v>1171</v>
      </c>
      <c r="AX17" s="1164"/>
      <c r="AY17" s="1163" t="s">
        <v>790</v>
      </c>
      <c r="AZ17" s="1164"/>
      <c r="BA17" s="1163" t="s">
        <v>785</v>
      </c>
      <c r="BB17" s="1164"/>
      <c r="BC17" s="309"/>
      <c r="BD17" s="331" t="s">
        <v>926</v>
      </c>
      <c r="BE17" s="339"/>
      <c r="BF17" s="339"/>
      <c r="BG17" s="340" t="e">
        <f t="shared" si="8"/>
        <v>#DIV/0!</v>
      </c>
      <c r="BH17" s="339"/>
      <c r="BI17" s="339"/>
      <c r="BJ17" s="340" t="e">
        <f t="shared" si="3"/>
        <v>#DIV/0!</v>
      </c>
      <c r="BK17" s="339"/>
      <c r="BL17" s="339"/>
      <c r="BM17" s="340" t="e">
        <f t="shared" si="4"/>
        <v>#DIV/0!</v>
      </c>
      <c r="BN17" s="339"/>
      <c r="BO17" s="339"/>
      <c r="BP17" s="340" t="e">
        <f t="shared" si="5"/>
        <v>#DIV/0!</v>
      </c>
      <c r="BQ17" s="339"/>
      <c r="BR17" s="339"/>
      <c r="BS17" s="340" t="e">
        <f t="shared" si="6"/>
        <v>#DIV/0!</v>
      </c>
      <c r="BT17" s="339"/>
      <c r="BU17" s="339"/>
      <c r="BV17" s="340" t="e">
        <f t="shared" si="7"/>
        <v>#DIV/0!</v>
      </c>
      <c r="BW17" s="1165"/>
      <c r="BX17" s="1166"/>
      <c r="BY17" s="342" t="str">
        <f t="shared" si="0"/>
        <v>NA</v>
      </c>
      <c r="BZ17" s="341" t="e">
        <f t="shared" si="1"/>
        <v>#DIV/0!</v>
      </c>
      <c r="CA17" s="341" t="e">
        <f t="shared" si="2"/>
        <v>#DIV/0!</v>
      </c>
      <c r="CB17" s="335"/>
      <c r="CC17" s="336"/>
      <c r="CD17" s="336"/>
      <c r="CE17" s="309"/>
      <c r="CF17" s="311" t="s">
        <v>898</v>
      </c>
      <c r="CG17" s="311" t="s">
        <v>903</v>
      </c>
      <c r="CH17" s="345"/>
      <c r="CI17" s="345"/>
      <c r="CJ17" s="345"/>
      <c r="CK17" s="330" t="s">
        <v>1975</v>
      </c>
      <c r="CL17" s="422" t="s">
        <v>1976</v>
      </c>
      <c r="CM17" s="420"/>
      <c r="CO17" s="345"/>
    </row>
    <row r="18" spans="1:93" ht="45" customHeight="1" thickBot="1">
      <c r="A18" s="694" t="s">
        <v>8</v>
      </c>
      <c r="B18" s="715">
        <v>0.75</v>
      </c>
      <c r="C18" s="715">
        <v>10</v>
      </c>
      <c r="D18" s="715">
        <v>1</v>
      </c>
      <c r="E18" s="715">
        <v>5.56</v>
      </c>
      <c r="F18" s="715">
        <v>295</v>
      </c>
      <c r="G18" s="716" t="s">
        <v>2439</v>
      </c>
      <c r="H18" s="14"/>
      <c r="I18" s="702" t="s">
        <v>2474</v>
      </c>
      <c r="J18" s="10">
        <v>1</v>
      </c>
      <c r="K18" s="11"/>
      <c r="L18" s="11">
        <v>5.5</v>
      </c>
      <c r="M18" s="11">
        <v>310</v>
      </c>
      <c r="N18" s="11" t="s">
        <v>2500</v>
      </c>
      <c r="O18" s="11"/>
      <c r="P18" s="11"/>
      <c r="Q18" s="17"/>
      <c r="R18" s="267" t="s">
        <v>98</v>
      </c>
      <c r="S18" s="22" t="s">
        <v>85</v>
      </c>
      <c r="T18" s="22" t="s">
        <v>841</v>
      </c>
      <c r="U18" s="244">
        <v>0.11</v>
      </c>
      <c r="V18" s="22" t="s">
        <v>99</v>
      </c>
      <c r="W18" s="24" t="s">
        <v>100</v>
      </c>
      <c r="X18" s="23" t="s">
        <v>252</v>
      </c>
      <c r="Y18" s="269" t="s">
        <v>101</v>
      </c>
      <c r="Z18" s="19"/>
      <c r="AA18" s="416"/>
      <c r="AB18" s="19"/>
      <c r="AC18" s="19"/>
      <c r="AD18" s="19"/>
      <c r="AE18" s="19"/>
      <c r="AF18" s="264" t="s">
        <v>1202</v>
      </c>
      <c r="AG18" s="722" t="s">
        <v>1203</v>
      </c>
      <c r="AH18" s="9" t="s">
        <v>72</v>
      </c>
      <c r="AI18" s="3">
        <v>0</v>
      </c>
      <c r="AJ18" s="3">
        <v>0</v>
      </c>
      <c r="AK18" s="3"/>
      <c r="AL18" s="4">
        <v>17.222222222222221</v>
      </c>
      <c r="AM18" s="4">
        <v>25</v>
      </c>
      <c r="AN18" s="9" t="s">
        <v>1198</v>
      </c>
      <c r="AO18" s="256"/>
      <c r="AP18" s="256" t="s">
        <v>1529</v>
      </c>
      <c r="AQ18" s="9"/>
      <c r="AR18" s="9"/>
      <c r="AS18" s="9"/>
      <c r="AT18" s="9"/>
      <c r="AV18" s="325" t="s">
        <v>791</v>
      </c>
      <c r="AW18" s="1163" t="s">
        <v>792</v>
      </c>
      <c r="AX18" s="1164"/>
      <c r="AY18" s="1163" t="s">
        <v>793</v>
      </c>
      <c r="AZ18" s="1164"/>
      <c r="BA18" s="1163" t="s">
        <v>785</v>
      </c>
      <c r="BB18" s="1164"/>
      <c r="BC18" s="309"/>
      <c r="BD18" s="331" t="s">
        <v>927</v>
      </c>
      <c r="BE18" s="339"/>
      <c r="BF18" s="339"/>
      <c r="BG18" s="340" t="e">
        <f t="shared" si="8"/>
        <v>#DIV/0!</v>
      </c>
      <c r="BH18" s="339"/>
      <c r="BI18" s="339"/>
      <c r="BJ18" s="340" t="e">
        <f t="shared" si="3"/>
        <v>#DIV/0!</v>
      </c>
      <c r="BK18" s="339"/>
      <c r="BL18" s="339"/>
      <c r="BM18" s="340" t="e">
        <f t="shared" si="4"/>
        <v>#DIV/0!</v>
      </c>
      <c r="BN18" s="339"/>
      <c r="BO18" s="339"/>
      <c r="BP18" s="340" t="e">
        <f t="shared" si="5"/>
        <v>#DIV/0!</v>
      </c>
      <c r="BQ18" s="339"/>
      <c r="BR18" s="339"/>
      <c r="BS18" s="340" t="e">
        <f t="shared" si="6"/>
        <v>#DIV/0!</v>
      </c>
      <c r="BT18" s="339"/>
      <c r="BU18" s="339"/>
      <c r="BV18" s="340" t="e">
        <f t="shared" si="7"/>
        <v>#DIV/0!</v>
      </c>
      <c r="BW18" s="1165"/>
      <c r="BX18" s="1166"/>
      <c r="BY18" s="342" t="str">
        <f t="shared" si="0"/>
        <v>NA</v>
      </c>
      <c r="BZ18" s="341" t="e">
        <f t="shared" si="1"/>
        <v>#DIV/0!</v>
      </c>
      <c r="CA18" s="341" t="e">
        <f t="shared" si="2"/>
        <v>#DIV/0!</v>
      </c>
      <c r="CB18" s="335"/>
      <c r="CC18" s="336"/>
      <c r="CD18" s="336"/>
      <c r="CE18" s="309"/>
      <c r="CF18" s="311" t="s">
        <v>899</v>
      </c>
      <c r="CG18" s="311" t="s">
        <v>905</v>
      </c>
      <c r="CH18" s="345"/>
      <c r="CI18" s="345"/>
      <c r="CJ18" s="345"/>
      <c r="CK18" s="330"/>
      <c r="CL18" s="422"/>
      <c r="CM18" s="420"/>
      <c r="CN18" s="345"/>
      <c r="CO18" s="345"/>
    </row>
    <row r="19" spans="1:93" ht="45" customHeight="1" thickBot="1">
      <c r="A19" s="706" t="s">
        <v>2592</v>
      </c>
      <c r="B19" s="707"/>
      <c r="C19" s="1159" t="s">
        <v>2527</v>
      </c>
      <c r="D19" s="1159"/>
      <c r="E19" s="1159"/>
      <c r="F19" s="1159"/>
      <c r="G19" s="1159"/>
      <c r="H19" s="14"/>
      <c r="I19" s="702" t="s">
        <v>2501</v>
      </c>
      <c r="J19" s="11" t="s">
        <v>2477</v>
      </c>
      <c r="K19" s="11"/>
      <c r="L19" s="11">
        <v>5.5</v>
      </c>
      <c r="M19" s="11">
        <v>310</v>
      </c>
      <c r="N19" s="292" t="s">
        <v>2502</v>
      </c>
      <c r="O19" s="11"/>
      <c r="P19" s="11"/>
      <c r="Q19" s="17"/>
      <c r="R19" s="267" t="s">
        <v>102</v>
      </c>
      <c r="S19" s="22" t="s">
        <v>87</v>
      </c>
      <c r="T19" s="22" t="s">
        <v>841</v>
      </c>
      <c r="U19" s="244">
        <v>0.09</v>
      </c>
      <c r="V19" s="22" t="s">
        <v>83</v>
      </c>
      <c r="W19" s="23" t="s">
        <v>253</v>
      </c>
      <c r="X19" s="23" t="s">
        <v>254</v>
      </c>
      <c r="Y19" s="268" t="s">
        <v>255</v>
      </c>
      <c r="Z19" s="19"/>
      <c r="AC19" s="19"/>
      <c r="AD19" s="19"/>
      <c r="AE19" s="19"/>
      <c r="AF19" s="264" t="s">
        <v>1204</v>
      </c>
      <c r="AG19" s="722" t="s">
        <v>1205</v>
      </c>
      <c r="AH19" s="9" t="s">
        <v>74</v>
      </c>
      <c r="AI19" s="3">
        <v>0.75</v>
      </c>
      <c r="AJ19" s="3">
        <v>0.8</v>
      </c>
      <c r="AK19" s="3">
        <v>0.77500000000000002</v>
      </c>
      <c r="AL19" s="4">
        <v>18.888888888888889</v>
      </c>
      <c r="AM19" s="4">
        <v>22.222222222222221</v>
      </c>
      <c r="AN19" s="9" t="s">
        <v>1196</v>
      </c>
      <c r="AO19" s="256"/>
      <c r="AP19" s="256" t="s">
        <v>1530</v>
      </c>
      <c r="AQ19" s="9"/>
      <c r="AR19" s="9"/>
      <c r="AS19" s="9"/>
      <c r="AT19" s="9"/>
      <c r="AV19" s="325" t="s">
        <v>30</v>
      </c>
      <c r="AW19" s="1163" t="s">
        <v>794</v>
      </c>
      <c r="AX19" s="1164"/>
      <c r="AY19" s="1163" t="s">
        <v>795</v>
      </c>
      <c r="AZ19" s="1164"/>
      <c r="BA19" s="1163" t="s">
        <v>785</v>
      </c>
      <c r="BB19" s="1164"/>
      <c r="BC19" s="309"/>
      <c r="BD19" s="326" t="s">
        <v>928</v>
      </c>
      <c r="BE19" s="339"/>
      <c r="BF19" s="339"/>
      <c r="BG19" s="340" t="e">
        <f t="shared" si="8"/>
        <v>#DIV/0!</v>
      </c>
      <c r="BH19" s="339"/>
      <c r="BI19" s="339"/>
      <c r="BJ19" s="340" t="e">
        <f t="shared" si="3"/>
        <v>#DIV/0!</v>
      </c>
      <c r="BK19" s="339"/>
      <c r="BL19" s="339"/>
      <c r="BM19" s="340" t="e">
        <f t="shared" si="4"/>
        <v>#DIV/0!</v>
      </c>
      <c r="BN19" s="339"/>
      <c r="BO19" s="339"/>
      <c r="BP19" s="340" t="e">
        <f t="shared" si="5"/>
        <v>#DIV/0!</v>
      </c>
      <c r="BQ19" s="339"/>
      <c r="BR19" s="339"/>
      <c r="BS19" s="340" t="e">
        <f t="shared" si="6"/>
        <v>#DIV/0!</v>
      </c>
      <c r="BT19" s="339"/>
      <c r="BU19" s="339"/>
      <c r="BV19" s="340" t="e">
        <f t="shared" si="7"/>
        <v>#DIV/0!</v>
      </c>
      <c r="BW19" s="1165"/>
      <c r="BX19" s="1166"/>
      <c r="BY19" s="342" t="str">
        <f t="shared" si="0"/>
        <v>NA</v>
      </c>
      <c r="BZ19" s="341" t="e">
        <f t="shared" si="1"/>
        <v>#DIV/0!</v>
      </c>
      <c r="CA19" s="341" t="e">
        <f t="shared" si="2"/>
        <v>#DIV/0!</v>
      </c>
      <c r="CB19" s="335"/>
      <c r="CC19" s="336"/>
      <c r="CD19" s="336"/>
      <c r="CE19" s="309"/>
      <c r="CF19" s="311" t="s">
        <v>900</v>
      </c>
      <c r="CG19" s="311" t="s">
        <v>906</v>
      </c>
      <c r="CH19" s="345"/>
      <c r="CI19" s="345"/>
      <c r="CJ19" s="345"/>
      <c r="CK19" s="330" t="s">
        <v>1979</v>
      </c>
      <c r="CL19" s="422" t="s">
        <v>1980</v>
      </c>
      <c r="CM19" s="420"/>
      <c r="CN19" s="345"/>
    </row>
    <row r="20" spans="1:93" ht="45" customHeight="1" thickBot="1">
      <c r="A20" s="694" t="s">
        <v>47</v>
      </c>
      <c r="B20" s="715">
        <v>0.75</v>
      </c>
      <c r="C20" s="715">
        <v>25</v>
      </c>
      <c r="D20" s="715">
        <v>0.6</v>
      </c>
      <c r="E20" s="715">
        <v>5.43</v>
      </c>
      <c r="F20" s="715">
        <v>275</v>
      </c>
      <c r="G20" s="715"/>
      <c r="H20" s="720"/>
      <c r="I20" s="702" t="s">
        <v>2015</v>
      </c>
      <c r="J20" s="11" t="s">
        <v>2504</v>
      </c>
      <c r="K20" s="11"/>
      <c r="L20" s="11">
        <v>5.5</v>
      </c>
      <c r="M20" s="11">
        <v>310</v>
      </c>
      <c r="N20" s="11" t="s">
        <v>2503</v>
      </c>
      <c r="O20" s="11"/>
      <c r="P20" s="11"/>
      <c r="Q20" s="17"/>
      <c r="R20" s="267" t="s">
        <v>103</v>
      </c>
      <c r="S20" s="22" t="s">
        <v>85</v>
      </c>
      <c r="T20" s="22" t="s">
        <v>841</v>
      </c>
      <c r="U20" s="244">
        <v>0.05</v>
      </c>
      <c r="V20" s="22" t="s">
        <v>92</v>
      </c>
      <c r="W20" s="23" t="s">
        <v>256</v>
      </c>
      <c r="X20" s="23" t="s">
        <v>257</v>
      </c>
      <c r="Y20" s="268" t="s">
        <v>258</v>
      </c>
      <c r="AD20" s="19"/>
      <c r="AE20" s="19"/>
      <c r="AF20" s="264" t="s">
        <v>1206</v>
      </c>
      <c r="AG20" s="722" t="s">
        <v>1205</v>
      </c>
      <c r="AH20" s="9" t="s">
        <v>74</v>
      </c>
      <c r="AI20" s="3"/>
      <c r="AJ20" s="3"/>
      <c r="AK20" s="3">
        <v>0.78</v>
      </c>
      <c r="AL20" s="4">
        <v>18.888888888888889</v>
      </c>
      <c r="AM20" s="4">
        <v>22.222222222222221</v>
      </c>
      <c r="AN20" s="9" t="s">
        <v>1188</v>
      </c>
      <c r="AO20" s="256"/>
      <c r="AP20" s="256" t="s">
        <v>1531</v>
      </c>
      <c r="AQ20" s="9"/>
      <c r="AR20" s="9"/>
      <c r="AS20" s="9"/>
      <c r="AT20" s="9"/>
      <c r="AV20" s="325" t="s">
        <v>796</v>
      </c>
      <c r="AW20" s="1163" t="s">
        <v>797</v>
      </c>
      <c r="AX20" s="1164"/>
      <c r="AY20" s="1163" t="s">
        <v>795</v>
      </c>
      <c r="AZ20" s="1164"/>
      <c r="BA20" s="1163" t="s">
        <v>785</v>
      </c>
      <c r="BB20" s="1164"/>
      <c r="BC20" s="309"/>
      <c r="BD20" s="331" t="s">
        <v>929</v>
      </c>
      <c r="BE20" s="339"/>
      <c r="BF20" s="339"/>
      <c r="BG20" s="340" t="e">
        <f t="shared" si="8"/>
        <v>#DIV/0!</v>
      </c>
      <c r="BH20" s="339"/>
      <c r="BI20" s="339"/>
      <c r="BJ20" s="340" t="e">
        <f t="shared" si="3"/>
        <v>#DIV/0!</v>
      </c>
      <c r="BK20" s="339"/>
      <c r="BL20" s="339"/>
      <c r="BM20" s="340" t="e">
        <f t="shared" si="4"/>
        <v>#DIV/0!</v>
      </c>
      <c r="BN20" s="339"/>
      <c r="BO20" s="339"/>
      <c r="BP20" s="340" t="e">
        <f t="shared" si="5"/>
        <v>#DIV/0!</v>
      </c>
      <c r="BQ20" s="339"/>
      <c r="BR20" s="339"/>
      <c r="BS20" s="340" t="e">
        <f t="shared" si="6"/>
        <v>#DIV/0!</v>
      </c>
      <c r="BT20" s="339"/>
      <c r="BU20" s="339"/>
      <c r="BV20" s="340" t="e">
        <f t="shared" si="7"/>
        <v>#DIV/0!</v>
      </c>
      <c r="BW20" s="1165"/>
      <c r="BX20" s="1166"/>
      <c r="BY20" s="342" t="str">
        <f t="shared" si="0"/>
        <v>NA</v>
      </c>
      <c r="BZ20" s="341" t="e">
        <f t="shared" si="1"/>
        <v>#DIV/0!</v>
      </c>
      <c r="CA20" s="341" t="e">
        <f t="shared" si="2"/>
        <v>#DIV/0!</v>
      </c>
      <c r="CB20" s="335"/>
      <c r="CC20" s="336"/>
      <c r="CD20" s="336"/>
      <c r="CE20" s="309"/>
      <c r="CF20" s="311" t="s">
        <v>901</v>
      </c>
      <c r="CG20" s="311" t="s">
        <v>907</v>
      </c>
      <c r="CH20" s="345"/>
      <c r="CI20" s="345"/>
      <c r="CJ20" s="345"/>
      <c r="CK20" s="330" t="s">
        <v>1981</v>
      </c>
      <c r="CL20" s="422" t="s">
        <v>1982</v>
      </c>
      <c r="CM20" s="420"/>
      <c r="CN20" s="345"/>
    </row>
    <row r="21" spans="1:93" ht="45" customHeight="1" thickBot="1">
      <c r="A21" s="694" t="s">
        <v>46</v>
      </c>
      <c r="B21" s="715">
        <v>0.75</v>
      </c>
      <c r="C21" s="715">
        <v>15</v>
      </c>
      <c r="D21" s="715">
        <v>0.6</v>
      </c>
      <c r="E21" s="715">
        <v>5.43</v>
      </c>
      <c r="F21" s="715">
        <v>280</v>
      </c>
      <c r="G21" s="715"/>
      <c r="H21" s="720"/>
      <c r="I21" s="1198" t="s">
        <v>2541</v>
      </c>
      <c r="J21" s="1198"/>
      <c r="K21" s="1198"/>
      <c r="L21" s="1198"/>
      <c r="M21" s="1198"/>
      <c r="N21" s="1207" t="s">
        <v>2520</v>
      </c>
      <c r="O21" s="1207"/>
      <c r="P21" s="1207"/>
      <c r="Q21" s="17"/>
      <c r="R21" s="267" t="s">
        <v>104</v>
      </c>
      <c r="S21" s="22" t="s">
        <v>85</v>
      </c>
      <c r="T21" s="22" t="s">
        <v>841</v>
      </c>
      <c r="U21" s="244">
        <v>7.0000000000000007E-2</v>
      </c>
      <c r="V21" s="22" t="s">
        <v>83</v>
      </c>
      <c r="W21" s="24" t="s">
        <v>259</v>
      </c>
      <c r="X21" s="23" t="s">
        <v>260</v>
      </c>
      <c r="Y21" s="268" t="s">
        <v>261</v>
      </c>
      <c r="AD21" s="19"/>
      <c r="AE21" s="19"/>
      <c r="AF21" s="264" t="s">
        <v>1207</v>
      </c>
      <c r="AG21" s="722" t="s">
        <v>1208</v>
      </c>
      <c r="AH21" s="9" t="s">
        <v>74</v>
      </c>
      <c r="AI21" s="3">
        <v>0.85</v>
      </c>
      <c r="AJ21" s="3">
        <v>1</v>
      </c>
      <c r="AK21" s="3">
        <v>0.92500000000000004</v>
      </c>
      <c r="AL21" s="4">
        <v>20</v>
      </c>
      <c r="AM21" s="4">
        <v>29.444444444444443</v>
      </c>
      <c r="AN21" s="9" t="s">
        <v>1198</v>
      </c>
      <c r="AO21" s="256"/>
      <c r="AP21" s="256" t="s">
        <v>1532</v>
      </c>
      <c r="AQ21" s="9"/>
      <c r="AR21" s="9"/>
      <c r="AS21" s="9"/>
      <c r="AT21" s="9"/>
      <c r="AV21" s="325" t="s">
        <v>1873</v>
      </c>
      <c r="AW21" s="1163"/>
      <c r="AX21" s="1164"/>
      <c r="AY21" s="1163" t="s">
        <v>1881</v>
      </c>
      <c r="AZ21" s="1164"/>
      <c r="BA21" s="1163" t="s">
        <v>1880</v>
      </c>
      <c r="BB21" s="1164"/>
      <c r="BC21" s="309"/>
      <c r="BD21" s="331" t="s">
        <v>930</v>
      </c>
      <c r="BE21" s="339"/>
      <c r="BF21" s="339"/>
      <c r="BG21" s="340" t="e">
        <f t="shared" si="8"/>
        <v>#DIV/0!</v>
      </c>
      <c r="BH21" s="339"/>
      <c r="BI21" s="339"/>
      <c r="BJ21" s="340" t="e">
        <f t="shared" si="3"/>
        <v>#DIV/0!</v>
      </c>
      <c r="BK21" s="339"/>
      <c r="BL21" s="339"/>
      <c r="BM21" s="340" t="e">
        <f t="shared" si="4"/>
        <v>#DIV/0!</v>
      </c>
      <c r="BN21" s="339"/>
      <c r="BO21" s="339"/>
      <c r="BP21" s="340" t="e">
        <f t="shared" si="5"/>
        <v>#DIV/0!</v>
      </c>
      <c r="BQ21" s="339"/>
      <c r="BR21" s="339"/>
      <c r="BS21" s="340" t="e">
        <f t="shared" si="6"/>
        <v>#DIV/0!</v>
      </c>
      <c r="BT21" s="339"/>
      <c r="BU21" s="339"/>
      <c r="BV21" s="340" t="e">
        <f t="shared" si="7"/>
        <v>#DIV/0!</v>
      </c>
      <c r="BW21" s="1165"/>
      <c r="BX21" s="1166"/>
      <c r="BY21" s="342" t="str">
        <f t="shared" si="0"/>
        <v>NA</v>
      </c>
      <c r="BZ21" s="341" t="e">
        <f t="shared" si="1"/>
        <v>#DIV/0!</v>
      </c>
      <c r="CA21" s="341" t="e">
        <f t="shared" si="2"/>
        <v>#DIV/0!</v>
      </c>
      <c r="CB21" s="335"/>
      <c r="CC21" s="336"/>
      <c r="CD21" s="336"/>
      <c r="CE21" s="309"/>
      <c r="CG21" s="345"/>
      <c r="CH21" s="345"/>
      <c r="CI21" s="345"/>
      <c r="CJ21" s="345"/>
      <c r="CK21" s="330" t="s">
        <v>1996</v>
      </c>
      <c r="CL21" s="422" t="s">
        <v>1969</v>
      </c>
      <c r="CM21" s="420"/>
      <c r="CN21" s="345"/>
    </row>
    <row r="22" spans="1:93" ht="45" customHeight="1" thickBot="1">
      <c r="A22" s="694" t="s">
        <v>6</v>
      </c>
      <c r="B22" s="715">
        <v>0.75</v>
      </c>
      <c r="C22" s="715">
        <v>13</v>
      </c>
      <c r="D22" s="715">
        <v>0.6</v>
      </c>
      <c r="E22" s="715">
        <v>5.43</v>
      </c>
      <c r="F22" s="715">
        <v>280</v>
      </c>
      <c r="G22" s="715"/>
      <c r="H22" s="720"/>
      <c r="I22" s="701" t="s">
        <v>834</v>
      </c>
      <c r="J22" s="10">
        <v>0</v>
      </c>
      <c r="K22" s="11"/>
      <c r="L22" s="11"/>
      <c r="M22" s="11">
        <v>300</v>
      </c>
      <c r="N22" s="292" t="s">
        <v>2513</v>
      </c>
      <c r="O22" s="292" t="s">
        <v>839</v>
      </c>
      <c r="P22" s="11"/>
      <c r="Q22" s="17"/>
      <c r="R22" s="267" t="s">
        <v>105</v>
      </c>
      <c r="S22" s="22" t="s">
        <v>82</v>
      </c>
      <c r="T22" s="22" t="s">
        <v>841</v>
      </c>
      <c r="U22" s="244">
        <v>0.16</v>
      </c>
      <c r="V22" s="22" t="s">
        <v>233</v>
      </c>
      <c r="W22" s="23" t="s">
        <v>262</v>
      </c>
      <c r="X22" s="23" t="s">
        <v>263</v>
      </c>
      <c r="Y22" s="269" t="s">
        <v>106</v>
      </c>
      <c r="AD22" s="19"/>
      <c r="AE22" s="19"/>
      <c r="AF22" s="264" t="s">
        <v>1209</v>
      </c>
      <c r="AG22" s="722" t="s">
        <v>1210</v>
      </c>
      <c r="AH22" s="9" t="s">
        <v>74</v>
      </c>
      <c r="AI22" s="3"/>
      <c r="AJ22" s="3"/>
      <c r="AK22" s="3"/>
      <c r="AL22" s="4">
        <v>15</v>
      </c>
      <c r="AM22" s="4">
        <v>20</v>
      </c>
      <c r="AN22" s="9" t="s">
        <v>1188</v>
      </c>
      <c r="AO22" s="256"/>
      <c r="AP22" s="256" t="s">
        <v>1533</v>
      </c>
      <c r="AQ22" s="9"/>
      <c r="AR22" s="9"/>
      <c r="AS22" s="9"/>
      <c r="AT22" s="9"/>
      <c r="AV22" s="325" t="s">
        <v>848</v>
      </c>
      <c r="AW22" s="1163" t="s">
        <v>849</v>
      </c>
      <c r="AX22" s="1164"/>
      <c r="AY22" s="1163" t="s">
        <v>850</v>
      </c>
      <c r="AZ22" s="1164"/>
      <c r="BA22" s="1163" t="s">
        <v>851</v>
      </c>
      <c r="BB22" s="1164"/>
      <c r="BC22" s="309"/>
      <c r="BD22" s="331" t="s">
        <v>931</v>
      </c>
      <c r="BE22" s="339"/>
      <c r="BF22" s="339"/>
      <c r="BG22" s="340" t="e">
        <f t="shared" si="8"/>
        <v>#DIV/0!</v>
      </c>
      <c r="BH22" s="339"/>
      <c r="BI22" s="339"/>
      <c r="BJ22" s="340" t="e">
        <f t="shared" si="3"/>
        <v>#DIV/0!</v>
      </c>
      <c r="BK22" s="339"/>
      <c r="BL22" s="339"/>
      <c r="BM22" s="340" t="e">
        <f t="shared" si="4"/>
        <v>#DIV/0!</v>
      </c>
      <c r="BN22" s="339"/>
      <c r="BO22" s="339"/>
      <c r="BP22" s="340" t="e">
        <f t="shared" si="5"/>
        <v>#DIV/0!</v>
      </c>
      <c r="BQ22" s="339"/>
      <c r="BR22" s="339"/>
      <c r="BS22" s="340" t="e">
        <f t="shared" si="6"/>
        <v>#DIV/0!</v>
      </c>
      <c r="BT22" s="339"/>
      <c r="BU22" s="339"/>
      <c r="BV22" s="340" t="e">
        <f t="shared" si="7"/>
        <v>#DIV/0!</v>
      </c>
      <c r="BW22" s="1165"/>
      <c r="BX22" s="1166"/>
      <c r="BY22" s="342" t="str">
        <f t="shared" si="0"/>
        <v>NA</v>
      </c>
      <c r="BZ22" s="341" t="e">
        <f t="shared" si="1"/>
        <v>#DIV/0!</v>
      </c>
      <c r="CA22" s="341" t="e">
        <f t="shared" si="2"/>
        <v>#DIV/0!</v>
      </c>
      <c r="CB22" s="335"/>
      <c r="CC22" s="336"/>
      <c r="CD22" s="336"/>
      <c r="CE22" s="309"/>
      <c r="CF22" s="310" t="s">
        <v>893</v>
      </c>
      <c r="CG22" s="310"/>
      <c r="CH22" s="310"/>
      <c r="CI22" s="310"/>
      <c r="CJ22" s="310"/>
      <c r="CK22" s="330" t="s">
        <v>1985</v>
      </c>
      <c r="CL22" s="422" t="s">
        <v>1970</v>
      </c>
      <c r="CM22" s="420"/>
      <c r="CN22" s="345"/>
    </row>
    <row r="23" spans="1:93" ht="45" customHeight="1" thickBot="1">
      <c r="A23" s="706" t="s">
        <v>2589</v>
      </c>
      <c r="B23" s="707"/>
      <c r="C23" s="707"/>
      <c r="D23" s="707"/>
      <c r="E23" s="707"/>
      <c r="F23" s="1160" t="s">
        <v>2444</v>
      </c>
      <c r="G23" s="1160"/>
      <c r="H23" s="14"/>
      <c r="I23" s="1198" t="s">
        <v>2542</v>
      </c>
      <c r="J23" s="1198"/>
      <c r="K23" s="1198"/>
      <c r="L23" s="1198"/>
      <c r="M23" s="1199"/>
      <c r="N23" s="1200" t="s">
        <v>2519</v>
      </c>
      <c r="O23" s="1201"/>
      <c r="P23" s="1201"/>
      <c r="Q23" s="17"/>
      <c r="R23" s="267" t="s">
        <v>107</v>
      </c>
      <c r="S23" s="22" t="s">
        <v>82</v>
      </c>
      <c r="T23" s="22" t="s">
        <v>841</v>
      </c>
      <c r="U23" s="244">
        <v>0.1</v>
      </c>
      <c r="V23" s="22" t="s">
        <v>233</v>
      </c>
      <c r="W23" s="24" t="s">
        <v>264</v>
      </c>
      <c r="X23" s="23" t="s">
        <v>265</v>
      </c>
      <c r="Y23" s="268" t="s">
        <v>266</v>
      </c>
      <c r="AD23" s="19"/>
      <c r="AE23" s="19"/>
      <c r="AF23" s="264" t="s">
        <v>1211</v>
      </c>
      <c r="AG23" s="722" t="s">
        <v>1205</v>
      </c>
      <c r="AH23" s="9" t="s">
        <v>74</v>
      </c>
      <c r="AI23" s="3">
        <v>0.7</v>
      </c>
      <c r="AJ23" s="3">
        <v>0.75</v>
      </c>
      <c r="AK23" s="3">
        <v>0.72499999999999998</v>
      </c>
      <c r="AL23" s="4">
        <v>18.333333333333332</v>
      </c>
      <c r="AM23" s="4">
        <v>20.555555555555557</v>
      </c>
      <c r="AN23" s="9" t="s">
        <v>1198</v>
      </c>
      <c r="AO23" s="256"/>
      <c r="AP23" s="256" t="s">
        <v>1534</v>
      </c>
      <c r="AQ23" s="9"/>
      <c r="AR23" s="9"/>
      <c r="AS23" s="9"/>
      <c r="AT23" s="9"/>
      <c r="AV23" s="325" t="s">
        <v>1842</v>
      </c>
      <c r="AW23" s="1163" t="s">
        <v>1843</v>
      </c>
      <c r="AX23" s="1164"/>
      <c r="AY23" s="1163"/>
      <c r="AZ23" s="1164"/>
      <c r="BA23" s="1163"/>
      <c r="BB23" s="1164"/>
      <c r="BC23" s="309"/>
      <c r="BD23" s="331" t="s">
        <v>932</v>
      </c>
      <c r="BE23" s="339"/>
      <c r="BF23" s="339"/>
      <c r="BG23" s="340" t="e">
        <f t="shared" si="8"/>
        <v>#DIV/0!</v>
      </c>
      <c r="BH23" s="339"/>
      <c r="BI23" s="339"/>
      <c r="BJ23" s="340" t="e">
        <f t="shared" si="3"/>
        <v>#DIV/0!</v>
      </c>
      <c r="BK23" s="339"/>
      <c r="BL23" s="339"/>
      <c r="BM23" s="340" t="e">
        <f t="shared" si="4"/>
        <v>#DIV/0!</v>
      </c>
      <c r="BN23" s="339"/>
      <c r="BO23" s="339"/>
      <c r="BP23" s="340" t="e">
        <f t="shared" si="5"/>
        <v>#DIV/0!</v>
      </c>
      <c r="BQ23" s="339"/>
      <c r="BR23" s="339"/>
      <c r="BS23" s="340" t="e">
        <f t="shared" si="6"/>
        <v>#DIV/0!</v>
      </c>
      <c r="BT23" s="339"/>
      <c r="BU23" s="339"/>
      <c r="BV23" s="340" t="e">
        <f t="shared" si="7"/>
        <v>#DIV/0!</v>
      </c>
      <c r="BW23" s="1165"/>
      <c r="BX23" s="1166"/>
      <c r="BY23" s="342" t="str">
        <f t="shared" si="0"/>
        <v>NA</v>
      </c>
      <c r="BZ23" s="341" t="e">
        <f t="shared" si="1"/>
        <v>#DIV/0!</v>
      </c>
      <c r="CA23" s="341" t="e">
        <f t="shared" si="2"/>
        <v>#DIV/0!</v>
      </c>
      <c r="CB23" s="335"/>
      <c r="CC23" s="336"/>
      <c r="CD23" s="336"/>
      <c r="CE23" s="309"/>
      <c r="CF23" s="311" t="s">
        <v>894</v>
      </c>
      <c r="CG23" s="311"/>
      <c r="CH23" s="311"/>
      <c r="CI23" s="311"/>
      <c r="CJ23" s="311"/>
      <c r="CK23" s="330" t="s">
        <v>1971</v>
      </c>
      <c r="CL23" s="422" t="s">
        <v>1972</v>
      </c>
      <c r="CM23" s="420"/>
      <c r="CN23" s="345"/>
    </row>
    <row r="24" spans="1:93" ht="45" customHeight="1" thickBot="1">
      <c r="A24" s="471" t="s">
        <v>24</v>
      </c>
      <c r="B24" s="715">
        <v>0.7</v>
      </c>
      <c r="C24" s="715">
        <v>45</v>
      </c>
      <c r="D24" s="715">
        <v>0.3</v>
      </c>
      <c r="E24" s="715">
        <v>5.13</v>
      </c>
      <c r="F24" s="715">
        <v>300</v>
      </c>
      <c r="G24" s="716" t="s">
        <v>2441</v>
      </c>
      <c r="H24" s="14"/>
      <c r="I24" s="700" t="s">
        <v>791</v>
      </c>
      <c r="J24" s="10">
        <v>0.97</v>
      </c>
      <c r="K24" s="11"/>
      <c r="L24" s="11">
        <v>4.2</v>
      </c>
      <c r="M24" s="11">
        <v>350</v>
      </c>
      <c r="N24" s="292" t="s">
        <v>2510</v>
      </c>
      <c r="O24" s="292" t="s">
        <v>2514</v>
      </c>
      <c r="P24" s="292"/>
      <c r="Q24" s="17"/>
      <c r="R24" s="267" t="s">
        <v>1899</v>
      </c>
      <c r="S24" s="22" t="s">
        <v>85</v>
      </c>
      <c r="T24" s="22" t="s">
        <v>841</v>
      </c>
      <c r="U24" s="244">
        <v>0.151</v>
      </c>
      <c r="V24" s="22" t="s">
        <v>233</v>
      </c>
      <c r="W24" s="23" t="s">
        <v>1901</v>
      </c>
      <c r="X24" s="23" t="s">
        <v>1900</v>
      </c>
      <c r="Y24" s="268" t="s">
        <v>1902</v>
      </c>
      <c r="AD24" s="19"/>
      <c r="AE24" s="19"/>
      <c r="AF24" s="264" t="s">
        <v>1212</v>
      </c>
      <c r="AG24" s="722" t="s">
        <v>1213</v>
      </c>
      <c r="AH24" s="9" t="s">
        <v>74</v>
      </c>
      <c r="AI24" s="3">
        <v>0.73</v>
      </c>
      <c r="AJ24" s="3">
        <v>0.77</v>
      </c>
      <c r="AK24" s="3">
        <v>0.75</v>
      </c>
      <c r="AL24" s="4">
        <v>15.555555555555555</v>
      </c>
      <c r="AM24" s="4">
        <v>22.222222222222221</v>
      </c>
      <c r="AN24" s="9" t="s">
        <v>1190</v>
      </c>
      <c r="AO24" s="256"/>
      <c r="AP24" s="256" t="s">
        <v>1535</v>
      </c>
      <c r="AQ24" s="9"/>
      <c r="AR24" s="9"/>
      <c r="AS24" s="9"/>
      <c r="AT24" s="9"/>
      <c r="AV24" s="325" t="s">
        <v>1844</v>
      </c>
      <c r="AW24" s="1163" t="s">
        <v>1845</v>
      </c>
      <c r="AX24" s="1164"/>
      <c r="AY24" s="1163"/>
      <c r="AZ24" s="1164"/>
      <c r="BA24" s="1163"/>
      <c r="BB24" s="1164"/>
      <c r="BC24" s="309"/>
      <c r="BD24" s="326" t="s">
        <v>933</v>
      </c>
      <c r="BE24" s="339"/>
      <c r="BF24" s="339"/>
      <c r="BG24" s="340" t="e">
        <f t="shared" si="8"/>
        <v>#DIV/0!</v>
      </c>
      <c r="BH24" s="339"/>
      <c r="BI24" s="339"/>
      <c r="BJ24" s="340" t="e">
        <f t="shared" si="3"/>
        <v>#DIV/0!</v>
      </c>
      <c r="BK24" s="339"/>
      <c r="BL24" s="339"/>
      <c r="BM24" s="340" t="e">
        <f t="shared" si="4"/>
        <v>#DIV/0!</v>
      </c>
      <c r="BN24" s="339"/>
      <c r="BO24" s="339"/>
      <c r="BP24" s="340" t="e">
        <f t="shared" si="5"/>
        <v>#DIV/0!</v>
      </c>
      <c r="BQ24" s="339"/>
      <c r="BR24" s="339"/>
      <c r="BS24" s="340" t="e">
        <f t="shared" si="6"/>
        <v>#DIV/0!</v>
      </c>
      <c r="BT24" s="339"/>
      <c r="BU24" s="339"/>
      <c r="BV24" s="340" t="e">
        <f t="shared" si="7"/>
        <v>#DIV/0!</v>
      </c>
      <c r="BW24" s="1165"/>
      <c r="BX24" s="1166"/>
      <c r="BY24" s="342" t="str">
        <f t="shared" si="0"/>
        <v>NA</v>
      </c>
      <c r="BZ24" s="341" t="e">
        <f t="shared" si="1"/>
        <v>#DIV/0!</v>
      </c>
      <c r="CA24" s="341" t="e">
        <f t="shared" si="2"/>
        <v>#DIV/0!</v>
      </c>
      <c r="CB24" s="335"/>
      <c r="CC24" s="336"/>
      <c r="CD24" s="336"/>
      <c r="CE24" s="309"/>
      <c r="CF24" s="311" t="s">
        <v>895</v>
      </c>
      <c r="CG24" s="311"/>
      <c r="CH24" s="311"/>
      <c r="CI24" s="311"/>
      <c r="CJ24" s="311"/>
      <c r="CK24" s="330" t="s">
        <v>1973</v>
      </c>
      <c r="CL24" s="422" t="s">
        <v>1974</v>
      </c>
      <c r="CM24" s="420"/>
      <c r="CN24" s="345"/>
      <c r="CO24" s="345"/>
    </row>
    <row r="25" spans="1:93" ht="45" customHeight="1" thickBot="1">
      <c r="A25" s="471" t="s">
        <v>45</v>
      </c>
      <c r="B25" s="715">
        <v>0.7</v>
      </c>
      <c r="C25" s="715">
        <v>80</v>
      </c>
      <c r="D25" s="715">
        <v>0.3</v>
      </c>
      <c r="E25" s="715">
        <v>5.07</v>
      </c>
      <c r="F25" s="715">
        <v>280</v>
      </c>
      <c r="G25" s="716" t="s">
        <v>2442</v>
      </c>
      <c r="H25" s="236"/>
      <c r="I25" s="700" t="s">
        <v>2505</v>
      </c>
      <c r="J25" s="10">
        <v>0.9</v>
      </c>
      <c r="K25" s="11">
        <v>12</v>
      </c>
      <c r="L25" s="11">
        <v>6</v>
      </c>
      <c r="M25" s="11">
        <v>300</v>
      </c>
      <c r="N25" s="292" t="s">
        <v>2506</v>
      </c>
      <c r="O25" s="292" t="s">
        <v>2507</v>
      </c>
      <c r="P25" s="292"/>
      <c r="Q25" s="17"/>
      <c r="R25" s="267" t="s">
        <v>108</v>
      </c>
      <c r="S25" s="22" t="s">
        <v>82</v>
      </c>
      <c r="T25" s="22" t="s">
        <v>841</v>
      </c>
      <c r="U25" s="244">
        <v>0.1</v>
      </c>
      <c r="V25" s="22" t="s">
        <v>233</v>
      </c>
      <c r="W25" s="23" t="s">
        <v>264</v>
      </c>
      <c r="X25" s="23" t="s">
        <v>267</v>
      </c>
      <c r="Y25" s="268" t="s">
        <v>589</v>
      </c>
      <c r="AD25" s="19"/>
      <c r="AE25" s="19"/>
      <c r="AF25" s="264" t="s">
        <v>1214</v>
      </c>
      <c r="AG25" s="722" t="s">
        <v>1210</v>
      </c>
      <c r="AH25" s="9" t="s">
        <v>74</v>
      </c>
      <c r="AI25" s="3"/>
      <c r="AJ25" s="3"/>
      <c r="AK25" s="3"/>
      <c r="AL25" s="4">
        <v>17.777777777777779</v>
      </c>
      <c r="AM25" s="4">
        <v>22.222222222222221</v>
      </c>
      <c r="AN25" s="9" t="s">
        <v>1188</v>
      </c>
      <c r="AO25" s="256"/>
      <c r="AP25" s="256" t="s">
        <v>1536</v>
      </c>
      <c r="AQ25" s="9"/>
      <c r="AR25" s="9"/>
      <c r="AS25" s="9"/>
      <c r="AT25" s="9"/>
      <c r="AV25" s="325" t="s">
        <v>1846</v>
      </c>
      <c r="AW25" s="1163" t="s">
        <v>1847</v>
      </c>
      <c r="AX25" s="1164"/>
      <c r="AY25" s="1163"/>
      <c r="AZ25" s="1164"/>
      <c r="BA25" s="1163" t="s">
        <v>1848</v>
      </c>
      <c r="BB25" s="1164"/>
      <c r="BC25" s="309"/>
      <c r="BD25" s="331" t="s">
        <v>934</v>
      </c>
      <c r="BE25" s="339"/>
      <c r="BF25" s="339"/>
      <c r="BG25" s="340" t="e">
        <f t="shared" si="8"/>
        <v>#DIV/0!</v>
      </c>
      <c r="BH25" s="339"/>
      <c r="BI25" s="339"/>
      <c r="BJ25" s="340" t="e">
        <f t="shared" si="3"/>
        <v>#DIV/0!</v>
      </c>
      <c r="BK25" s="339"/>
      <c r="BL25" s="339"/>
      <c r="BM25" s="340" t="e">
        <f t="shared" si="4"/>
        <v>#DIV/0!</v>
      </c>
      <c r="BN25" s="339"/>
      <c r="BO25" s="339"/>
      <c r="BP25" s="340" t="e">
        <f t="shared" si="5"/>
        <v>#DIV/0!</v>
      </c>
      <c r="BQ25" s="339"/>
      <c r="BR25" s="339"/>
      <c r="BS25" s="340" t="e">
        <f t="shared" si="6"/>
        <v>#DIV/0!</v>
      </c>
      <c r="BT25" s="339"/>
      <c r="BU25" s="339"/>
      <c r="BV25" s="340" t="e">
        <f t="shared" si="7"/>
        <v>#DIV/0!</v>
      </c>
      <c r="BW25" s="1165"/>
      <c r="BX25" s="1166"/>
      <c r="BY25" s="342" t="str">
        <f t="shared" si="0"/>
        <v>NA</v>
      </c>
      <c r="BZ25" s="341" t="e">
        <f t="shared" si="1"/>
        <v>#DIV/0!</v>
      </c>
      <c r="CA25" s="341" t="e">
        <f t="shared" si="2"/>
        <v>#DIV/0!</v>
      </c>
      <c r="CB25" s="335"/>
      <c r="CC25" s="336"/>
      <c r="CD25" s="336"/>
      <c r="CE25" s="309"/>
      <c r="CF25" s="311" t="s">
        <v>896</v>
      </c>
      <c r="CG25" s="311"/>
      <c r="CH25" s="311"/>
      <c r="CI25" s="311"/>
      <c r="CJ25" s="311"/>
      <c r="CK25" s="330" t="s">
        <v>1983</v>
      </c>
      <c r="CL25" s="422" t="s">
        <v>1984</v>
      </c>
      <c r="CM25" s="420"/>
      <c r="CN25" s="345"/>
      <c r="CO25" s="345"/>
    </row>
    <row r="26" spans="1:93" ht="45" customHeight="1">
      <c r="A26" s="471" t="s">
        <v>2594</v>
      </c>
      <c r="B26" s="715">
        <v>0.81</v>
      </c>
      <c r="C26" s="715">
        <v>5</v>
      </c>
      <c r="D26" s="715">
        <v>1</v>
      </c>
      <c r="E26" s="715">
        <v>5.77</v>
      </c>
      <c r="F26" s="715">
        <v>305</v>
      </c>
      <c r="G26" s="716" t="s">
        <v>2443</v>
      </c>
      <c r="H26" s="236"/>
      <c r="I26" s="700" t="s">
        <v>2508</v>
      </c>
      <c r="J26" s="10">
        <v>0.6</v>
      </c>
      <c r="K26" s="11">
        <v>120</v>
      </c>
      <c r="L26" s="11">
        <v>5.5</v>
      </c>
      <c r="M26" s="11">
        <v>300</v>
      </c>
      <c r="N26" s="292" t="s">
        <v>2509</v>
      </c>
      <c r="O26" s="292" t="s">
        <v>2515</v>
      </c>
      <c r="P26" s="292"/>
      <c r="Q26" s="17"/>
      <c r="R26" s="267" t="s">
        <v>109</v>
      </c>
      <c r="S26" s="22" t="s">
        <v>87</v>
      </c>
      <c r="T26" s="22" t="s">
        <v>841</v>
      </c>
      <c r="U26" s="244">
        <v>0.11</v>
      </c>
      <c r="V26" s="22" t="s">
        <v>233</v>
      </c>
      <c r="W26" s="23" t="s">
        <v>268</v>
      </c>
      <c r="X26" s="23" t="s">
        <v>269</v>
      </c>
      <c r="Y26" s="268" t="s">
        <v>270</v>
      </c>
      <c r="AD26" s="19"/>
      <c r="AE26" s="19"/>
      <c r="AF26" s="264" t="s">
        <v>1215</v>
      </c>
      <c r="AG26" s="722" t="s">
        <v>1213</v>
      </c>
      <c r="AH26" s="9" t="s">
        <v>74</v>
      </c>
      <c r="AI26" s="3">
        <v>0.72</v>
      </c>
      <c r="AJ26" s="3">
        <v>0.76</v>
      </c>
      <c r="AK26" s="3">
        <v>0.74</v>
      </c>
      <c r="AL26" s="4">
        <v>15.555555555555555</v>
      </c>
      <c r="AM26" s="4">
        <v>22.222222222222221</v>
      </c>
      <c r="AN26" s="9" t="s">
        <v>1188</v>
      </c>
      <c r="AO26" s="256"/>
      <c r="AP26" s="256" t="s">
        <v>1537</v>
      </c>
      <c r="AQ26" s="9"/>
      <c r="AR26" s="9"/>
      <c r="AS26" s="9"/>
      <c r="AT26" s="9"/>
      <c r="AV26" s="325" t="s">
        <v>2404</v>
      </c>
      <c r="AW26" s="1163"/>
      <c r="AX26" s="1164"/>
      <c r="AY26" s="1163"/>
      <c r="AZ26" s="1164"/>
      <c r="BA26" s="1163"/>
      <c r="BB26" s="1164"/>
      <c r="BC26" s="309"/>
      <c r="BD26" s="331" t="s">
        <v>935</v>
      </c>
      <c r="BE26" s="339"/>
      <c r="BF26" s="339"/>
      <c r="BG26" s="340" t="e">
        <f t="shared" si="8"/>
        <v>#DIV/0!</v>
      </c>
      <c r="BH26" s="339"/>
      <c r="BI26" s="339"/>
      <c r="BJ26" s="340" t="e">
        <f t="shared" si="3"/>
        <v>#DIV/0!</v>
      </c>
      <c r="BK26" s="339"/>
      <c r="BL26" s="339"/>
      <c r="BM26" s="340" t="e">
        <f t="shared" si="4"/>
        <v>#DIV/0!</v>
      </c>
      <c r="BN26" s="339"/>
      <c r="BO26" s="339"/>
      <c r="BP26" s="340" t="e">
        <f t="shared" si="5"/>
        <v>#DIV/0!</v>
      </c>
      <c r="BQ26" s="339"/>
      <c r="BR26" s="339"/>
      <c r="BS26" s="340" t="e">
        <f t="shared" si="6"/>
        <v>#DIV/0!</v>
      </c>
      <c r="BT26" s="339"/>
      <c r="BU26" s="339"/>
      <c r="BV26" s="340" t="e">
        <f t="shared" si="7"/>
        <v>#DIV/0!</v>
      </c>
      <c r="BW26" s="1165"/>
      <c r="BX26" s="1166"/>
      <c r="BY26" s="342" t="str">
        <f t="shared" si="0"/>
        <v>NA</v>
      </c>
      <c r="BZ26" s="341" t="e">
        <f t="shared" si="1"/>
        <v>#DIV/0!</v>
      </c>
      <c r="CA26" s="341" t="e">
        <f t="shared" si="2"/>
        <v>#DIV/0!</v>
      </c>
      <c r="CB26" s="335"/>
      <c r="CC26" s="336"/>
      <c r="CD26" s="336"/>
      <c r="CE26" s="309"/>
      <c r="CG26" s="345"/>
      <c r="CH26" s="345"/>
      <c r="CI26" s="345"/>
      <c r="CJ26" s="345"/>
      <c r="CK26" s="330" t="s">
        <v>2333</v>
      </c>
      <c r="CL26" s="422"/>
      <c r="CM26" s="420"/>
      <c r="CN26" s="345"/>
      <c r="CO26" s="345"/>
    </row>
    <row r="27" spans="1:93" ht="45" customHeight="1">
      <c r="A27" s="471" t="s">
        <v>910</v>
      </c>
      <c r="B27" s="715">
        <v>0.8</v>
      </c>
      <c r="C27" s="715">
        <v>4</v>
      </c>
      <c r="D27" s="715">
        <v>1</v>
      </c>
      <c r="E27" s="715">
        <v>5.9</v>
      </c>
      <c r="F27" s="715">
        <v>300</v>
      </c>
      <c r="G27" s="716" t="s">
        <v>2458</v>
      </c>
      <c r="H27" s="236"/>
      <c r="I27" s="1198" t="s">
        <v>2543</v>
      </c>
      <c r="J27" s="1198"/>
      <c r="K27" s="1198"/>
      <c r="L27" s="1198"/>
      <c r="M27" s="1198"/>
      <c r="N27" s="1207" t="s">
        <v>2521</v>
      </c>
      <c r="O27" s="1207"/>
      <c r="P27" s="1207"/>
      <c r="Q27" s="17"/>
      <c r="R27" s="295" t="s">
        <v>4</v>
      </c>
      <c r="S27" s="296" t="s">
        <v>85</v>
      </c>
      <c r="T27" s="296" t="s">
        <v>841</v>
      </c>
      <c r="U27" s="297">
        <v>7.0000000000000007E-2</v>
      </c>
      <c r="V27" s="296" t="s">
        <v>233</v>
      </c>
      <c r="W27" s="298" t="s">
        <v>271</v>
      </c>
      <c r="X27" s="298" t="s">
        <v>272</v>
      </c>
      <c r="Y27" s="299" t="s">
        <v>273</v>
      </c>
      <c r="AD27" s="19"/>
      <c r="AE27" s="19"/>
      <c r="AF27" s="264" t="s">
        <v>1216</v>
      </c>
      <c r="AG27" s="722" t="s">
        <v>1205</v>
      </c>
      <c r="AH27" s="9" t="s">
        <v>74</v>
      </c>
      <c r="AI27" s="3">
        <v>0.72</v>
      </c>
      <c r="AJ27" s="3">
        <v>0.8</v>
      </c>
      <c r="AK27" s="3">
        <v>0.75</v>
      </c>
      <c r="AL27" s="4">
        <v>20</v>
      </c>
      <c r="AM27" s="4">
        <v>22.222222222222221</v>
      </c>
      <c r="AN27" s="9" t="s">
        <v>1188</v>
      </c>
      <c r="AO27" s="256"/>
      <c r="AP27" s="256" t="s">
        <v>1538</v>
      </c>
      <c r="AQ27" s="9"/>
      <c r="AR27" s="9"/>
      <c r="AS27" s="9"/>
      <c r="AT27" s="9"/>
      <c r="AU27" s="309"/>
      <c r="AV27" s="325" t="s">
        <v>2432</v>
      </c>
      <c r="AW27" s="1163" t="s">
        <v>2433</v>
      </c>
      <c r="AX27" s="1164"/>
      <c r="AY27" s="1163"/>
      <c r="AZ27" s="1164"/>
      <c r="BA27" s="1163"/>
      <c r="BB27" s="1164"/>
      <c r="BC27" s="309"/>
      <c r="BD27" s="331" t="s">
        <v>936</v>
      </c>
      <c r="BE27" s="339"/>
      <c r="BF27" s="339"/>
      <c r="BG27" s="340" t="e">
        <f t="shared" si="8"/>
        <v>#DIV/0!</v>
      </c>
      <c r="BH27" s="339"/>
      <c r="BI27" s="339"/>
      <c r="BJ27" s="340" t="e">
        <f t="shared" si="3"/>
        <v>#DIV/0!</v>
      </c>
      <c r="BK27" s="339"/>
      <c r="BL27" s="339"/>
      <c r="BM27" s="340" t="e">
        <f t="shared" si="4"/>
        <v>#DIV/0!</v>
      </c>
      <c r="BN27" s="339"/>
      <c r="BO27" s="339"/>
      <c r="BP27" s="340" t="e">
        <f t="shared" si="5"/>
        <v>#DIV/0!</v>
      </c>
      <c r="BQ27" s="339"/>
      <c r="BR27" s="339"/>
      <c r="BS27" s="340" t="e">
        <f t="shared" si="6"/>
        <v>#DIV/0!</v>
      </c>
      <c r="BT27" s="339"/>
      <c r="BU27" s="339"/>
      <c r="BV27" s="340" t="e">
        <f t="shared" si="7"/>
        <v>#DIV/0!</v>
      </c>
      <c r="BW27" s="1165"/>
      <c r="BX27" s="1166"/>
      <c r="BY27" s="342" t="str">
        <f t="shared" si="0"/>
        <v>NA</v>
      </c>
      <c r="BZ27" s="341" t="e">
        <f t="shared" si="1"/>
        <v>#DIV/0!</v>
      </c>
      <c r="CA27" s="341" t="e">
        <f t="shared" si="2"/>
        <v>#DIV/0!</v>
      </c>
      <c r="CB27" s="335"/>
      <c r="CC27" s="336"/>
      <c r="CD27" s="336"/>
      <c r="CE27" s="309"/>
      <c r="CG27" s="345"/>
      <c r="CH27" s="345"/>
      <c r="CI27" s="345"/>
      <c r="CJ27" s="345"/>
      <c r="CM27" s="236"/>
      <c r="CN27" s="345"/>
      <c r="CO27" s="345"/>
    </row>
    <row r="28" spans="1:93" ht="45" customHeight="1">
      <c r="A28" s="1" t="s">
        <v>2457</v>
      </c>
      <c r="B28" s="715">
        <v>0.81</v>
      </c>
      <c r="C28" s="715">
        <v>3</v>
      </c>
      <c r="D28" s="715">
        <v>0.3</v>
      </c>
      <c r="E28" s="715">
        <v>5.7</v>
      </c>
      <c r="F28" s="715">
        <v>300</v>
      </c>
      <c r="G28" s="716" t="s">
        <v>2462</v>
      </c>
      <c r="H28" s="236"/>
      <c r="I28" s="700" t="s">
        <v>57</v>
      </c>
      <c r="J28" s="10">
        <v>0.96599999999999997</v>
      </c>
      <c r="K28" s="11">
        <v>8</v>
      </c>
      <c r="L28" s="11"/>
      <c r="M28" s="11"/>
      <c r="N28" s="292" t="s">
        <v>2511</v>
      </c>
      <c r="O28" s="700" t="s">
        <v>830</v>
      </c>
      <c r="P28" s="292"/>
      <c r="Q28" s="17"/>
      <c r="R28" s="267" t="s">
        <v>110</v>
      </c>
      <c r="S28" s="22" t="s">
        <v>87</v>
      </c>
      <c r="T28" s="22" t="s">
        <v>841</v>
      </c>
      <c r="U28" s="244">
        <v>0.08</v>
      </c>
      <c r="V28" s="22" t="s">
        <v>233</v>
      </c>
      <c r="W28" s="23" t="s">
        <v>274</v>
      </c>
      <c r="X28" s="23" t="s">
        <v>832</v>
      </c>
      <c r="Y28" s="269"/>
      <c r="AA28"/>
      <c r="AB28"/>
      <c r="AC28"/>
      <c r="AD28" s="19"/>
      <c r="AE28" s="19"/>
      <c r="AF28" s="264" t="s">
        <v>1217</v>
      </c>
      <c r="AG28" s="722" t="s">
        <v>1205</v>
      </c>
      <c r="AH28" s="9" t="s">
        <v>74</v>
      </c>
      <c r="AI28" s="3"/>
      <c r="AJ28" s="3"/>
      <c r="AK28" s="3">
        <v>0.78500000000000003</v>
      </c>
      <c r="AL28" s="4">
        <v>20</v>
      </c>
      <c r="AM28" s="4">
        <v>22.222222222222221</v>
      </c>
      <c r="AN28" s="9" t="s">
        <v>1188</v>
      </c>
      <c r="AO28" s="256"/>
      <c r="AP28" s="256" t="s">
        <v>1539</v>
      </c>
      <c r="AQ28" s="9"/>
      <c r="AR28" s="9"/>
      <c r="AS28" s="9"/>
      <c r="AT28" s="9"/>
      <c r="AU28" s="309"/>
      <c r="BC28" s="309"/>
      <c r="BD28" s="326" t="s">
        <v>937</v>
      </c>
      <c r="BE28" s="339"/>
      <c r="BF28" s="339"/>
      <c r="BG28" s="340" t="e">
        <f t="shared" si="8"/>
        <v>#DIV/0!</v>
      </c>
      <c r="BH28" s="339"/>
      <c r="BI28" s="339"/>
      <c r="BJ28" s="340" t="e">
        <f t="shared" si="3"/>
        <v>#DIV/0!</v>
      </c>
      <c r="BK28" s="339"/>
      <c r="BL28" s="339"/>
      <c r="BM28" s="340" t="e">
        <f t="shared" si="4"/>
        <v>#DIV/0!</v>
      </c>
      <c r="BN28" s="339"/>
      <c r="BO28" s="339"/>
      <c r="BP28" s="340" t="e">
        <f t="shared" si="5"/>
        <v>#DIV/0!</v>
      </c>
      <c r="BQ28" s="339"/>
      <c r="BR28" s="339"/>
      <c r="BS28" s="340" t="e">
        <f t="shared" si="6"/>
        <v>#DIV/0!</v>
      </c>
      <c r="BT28" s="339"/>
      <c r="BU28" s="339"/>
      <c r="BV28" s="340" t="e">
        <f t="shared" si="7"/>
        <v>#DIV/0!</v>
      </c>
      <c r="BW28" s="1165"/>
      <c r="BX28" s="1166"/>
      <c r="BY28" s="342" t="str">
        <f t="shared" si="0"/>
        <v>NA</v>
      </c>
      <c r="BZ28" s="341" t="e">
        <f t="shared" si="1"/>
        <v>#DIV/0!</v>
      </c>
      <c r="CA28" s="341" t="e">
        <f t="shared" si="2"/>
        <v>#DIV/0!</v>
      </c>
      <c r="CB28" s="335"/>
      <c r="CC28" s="336"/>
      <c r="CD28" s="336"/>
      <c r="CE28" s="309"/>
      <c r="CG28" s="345"/>
      <c r="CH28" s="345"/>
      <c r="CI28" s="345"/>
      <c r="CJ28" s="345"/>
      <c r="CM28" s="236"/>
      <c r="CN28" s="345"/>
      <c r="CO28" s="345"/>
    </row>
    <row r="29" spans="1:93" ht="45" customHeight="1">
      <c r="A29" s="471" t="s">
        <v>909</v>
      </c>
      <c r="B29" s="715">
        <v>0.5</v>
      </c>
      <c r="C29" s="715">
        <v>2.5</v>
      </c>
      <c r="D29" s="715">
        <v>0.15</v>
      </c>
      <c r="E29" s="715">
        <v>5.75</v>
      </c>
      <c r="F29" s="715">
        <v>300</v>
      </c>
      <c r="G29" s="716" t="s">
        <v>2456</v>
      </c>
      <c r="H29" s="236"/>
      <c r="I29" s="700" t="s">
        <v>58</v>
      </c>
      <c r="J29" s="10">
        <v>0.96599999999999997</v>
      </c>
      <c r="K29" s="11">
        <v>18</v>
      </c>
      <c r="L29" s="11"/>
      <c r="M29" s="11"/>
      <c r="N29" s="292"/>
      <c r="O29" s="700" t="s">
        <v>830</v>
      </c>
      <c r="P29" s="292"/>
      <c r="Q29" s="17"/>
      <c r="R29" s="267" t="s">
        <v>111</v>
      </c>
      <c r="S29" s="22" t="s">
        <v>87</v>
      </c>
      <c r="T29" s="22" t="s">
        <v>841</v>
      </c>
      <c r="U29" s="244">
        <v>0.05</v>
      </c>
      <c r="V29" s="22" t="s">
        <v>92</v>
      </c>
      <c r="W29" s="23" t="s">
        <v>275</v>
      </c>
      <c r="X29" s="24" t="s">
        <v>244</v>
      </c>
      <c r="Y29" s="269" t="s">
        <v>93</v>
      </c>
      <c r="AA29"/>
      <c r="AB29"/>
      <c r="AC29"/>
      <c r="AD29" s="19"/>
      <c r="AE29" s="19"/>
      <c r="AF29" s="264" t="s">
        <v>1218</v>
      </c>
      <c r="AG29" s="722" t="s">
        <v>1205</v>
      </c>
      <c r="AH29" s="9" t="s">
        <v>74</v>
      </c>
      <c r="AI29" s="3">
        <v>0.7</v>
      </c>
      <c r="AJ29" s="3">
        <v>0.75</v>
      </c>
      <c r="AK29" s="3">
        <v>0.72499999999999998</v>
      </c>
      <c r="AL29" s="4">
        <v>18.333333333333332</v>
      </c>
      <c r="AM29" s="4">
        <v>20.555555555555557</v>
      </c>
      <c r="AN29" s="9" t="s">
        <v>1198</v>
      </c>
      <c r="AO29" s="256"/>
      <c r="AP29" s="256" t="s">
        <v>1540</v>
      </c>
      <c r="AQ29" s="9"/>
      <c r="AR29" s="9"/>
      <c r="AS29" s="9"/>
      <c r="AT29" s="9"/>
      <c r="AU29" s="309"/>
      <c r="BC29" s="309"/>
      <c r="BD29" s="331" t="s">
        <v>938</v>
      </c>
      <c r="BE29" s="339"/>
      <c r="BF29" s="339"/>
      <c r="BG29" s="340" t="e">
        <f t="shared" si="8"/>
        <v>#DIV/0!</v>
      </c>
      <c r="BH29" s="339"/>
      <c r="BI29" s="339"/>
      <c r="BJ29" s="340" t="e">
        <f t="shared" si="3"/>
        <v>#DIV/0!</v>
      </c>
      <c r="BK29" s="339"/>
      <c r="BL29" s="339"/>
      <c r="BM29" s="340" t="e">
        <f t="shared" si="4"/>
        <v>#DIV/0!</v>
      </c>
      <c r="BN29" s="339"/>
      <c r="BO29" s="339"/>
      <c r="BP29" s="340" t="e">
        <f t="shared" si="5"/>
        <v>#DIV/0!</v>
      </c>
      <c r="BQ29" s="339"/>
      <c r="BR29" s="339"/>
      <c r="BS29" s="340" t="e">
        <f t="shared" si="6"/>
        <v>#DIV/0!</v>
      </c>
      <c r="BT29" s="339"/>
      <c r="BU29" s="339"/>
      <c r="BV29" s="340" t="e">
        <f t="shared" si="7"/>
        <v>#DIV/0!</v>
      </c>
      <c r="BW29" s="1165"/>
      <c r="BX29" s="1166"/>
      <c r="BY29" s="342" t="str">
        <f t="shared" si="0"/>
        <v>NA</v>
      </c>
      <c r="BZ29" s="341" t="e">
        <f t="shared" si="1"/>
        <v>#DIV/0!</v>
      </c>
      <c r="CA29" s="341" t="e">
        <f t="shared" si="2"/>
        <v>#DIV/0!</v>
      </c>
      <c r="CB29" s="335"/>
      <c r="CC29" s="336"/>
      <c r="CD29" s="336"/>
      <c r="CE29" s="309"/>
      <c r="CG29" s="345"/>
      <c r="CH29" s="345"/>
      <c r="CI29" s="345"/>
      <c r="CJ29" s="345"/>
      <c r="CK29" s="345"/>
      <c r="CL29" s="17"/>
      <c r="CM29" s="236"/>
      <c r="CN29" s="345"/>
      <c r="CO29" s="345"/>
    </row>
    <row r="30" spans="1:93" ht="45" customHeight="1">
      <c r="A30" s="1" t="s">
        <v>2590</v>
      </c>
      <c r="B30" s="715"/>
      <c r="C30" s="715"/>
      <c r="D30" s="715">
        <v>0.15</v>
      </c>
      <c r="E30" s="715"/>
      <c r="F30" s="715"/>
      <c r="G30" s="716" t="s">
        <v>2579</v>
      </c>
      <c r="H30" s="236"/>
      <c r="I30" s="700" t="s">
        <v>59</v>
      </c>
      <c r="J30" s="10">
        <v>0.96599999999999997</v>
      </c>
      <c r="K30" s="11">
        <v>57</v>
      </c>
      <c r="L30" s="11"/>
      <c r="M30" s="11"/>
      <c r="N30" s="292"/>
      <c r="O30" s="700" t="s">
        <v>830</v>
      </c>
      <c r="P30" s="292"/>
      <c r="Q30" s="17"/>
      <c r="R30" s="267" t="s">
        <v>112</v>
      </c>
      <c r="S30" s="22" t="s">
        <v>87</v>
      </c>
      <c r="T30" s="22" t="s">
        <v>841</v>
      </c>
      <c r="U30" s="244">
        <v>0.11</v>
      </c>
      <c r="V30" s="22" t="s">
        <v>233</v>
      </c>
      <c r="W30" s="23" t="s">
        <v>276</v>
      </c>
      <c r="X30" s="23" t="s">
        <v>272</v>
      </c>
      <c r="Y30" s="268" t="s">
        <v>277</v>
      </c>
      <c r="AA30"/>
      <c r="AB30"/>
      <c r="AC30"/>
      <c r="AD30" s="19"/>
      <c r="AE30" s="19"/>
      <c r="AF30" s="264" t="s">
        <v>1219</v>
      </c>
      <c r="AG30" s="722" t="s">
        <v>1210</v>
      </c>
      <c r="AH30" s="9" t="s">
        <v>74</v>
      </c>
      <c r="AI30" s="3"/>
      <c r="AJ30" s="3"/>
      <c r="AK30" s="3"/>
      <c r="AL30" s="4">
        <v>20</v>
      </c>
      <c r="AM30" s="4">
        <v>22.222222222222221</v>
      </c>
      <c r="AN30" s="9" t="s">
        <v>1186</v>
      </c>
      <c r="AO30" s="256"/>
      <c r="AP30" s="256" t="s">
        <v>1541</v>
      </c>
      <c r="AQ30" s="9"/>
      <c r="AR30" s="9"/>
      <c r="AS30" s="9"/>
      <c r="AT30" s="9"/>
      <c r="AU30" s="309"/>
      <c r="BC30" s="309"/>
      <c r="BD30" s="331" t="s">
        <v>939</v>
      </c>
      <c r="BE30" s="339"/>
      <c r="BF30" s="339"/>
      <c r="BG30" s="340" t="e">
        <f t="shared" si="8"/>
        <v>#DIV/0!</v>
      </c>
      <c r="BH30" s="339"/>
      <c r="BI30" s="339"/>
      <c r="BJ30" s="340" t="e">
        <f t="shared" si="3"/>
        <v>#DIV/0!</v>
      </c>
      <c r="BK30" s="339"/>
      <c r="BL30" s="339"/>
      <c r="BM30" s="340" t="e">
        <f t="shared" si="4"/>
        <v>#DIV/0!</v>
      </c>
      <c r="BN30" s="339"/>
      <c r="BO30" s="339"/>
      <c r="BP30" s="340" t="e">
        <f t="shared" si="5"/>
        <v>#DIV/0!</v>
      </c>
      <c r="BQ30" s="339"/>
      <c r="BR30" s="339"/>
      <c r="BS30" s="340" t="e">
        <f t="shared" si="6"/>
        <v>#DIV/0!</v>
      </c>
      <c r="BT30" s="339"/>
      <c r="BU30" s="339"/>
      <c r="BV30" s="340" t="e">
        <f t="shared" si="7"/>
        <v>#DIV/0!</v>
      </c>
      <c r="BW30" s="1165"/>
      <c r="BX30" s="1166"/>
      <c r="BY30" s="342" t="str">
        <f t="shared" si="0"/>
        <v>NA</v>
      </c>
      <c r="BZ30" s="341" t="e">
        <f t="shared" si="1"/>
        <v>#DIV/0!</v>
      </c>
      <c r="CA30" s="341" t="e">
        <f t="shared" si="2"/>
        <v>#DIV/0!</v>
      </c>
      <c r="CB30" s="335"/>
      <c r="CC30" s="336"/>
      <c r="CD30" s="336"/>
      <c r="CE30" s="309"/>
      <c r="CG30" s="345"/>
      <c r="CH30" s="345"/>
      <c r="CI30" s="345"/>
      <c r="CJ30" s="345"/>
      <c r="CK30" s="345"/>
      <c r="CL30" s="17"/>
      <c r="CM30" s="236"/>
      <c r="CN30" s="345"/>
      <c r="CO30" s="345"/>
    </row>
    <row r="31" spans="1:93" ht="45" customHeight="1">
      <c r="A31" s="471" t="s">
        <v>2580</v>
      </c>
      <c r="B31" s="715"/>
      <c r="C31" s="715"/>
      <c r="D31" s="715">
        <v>0.05</v>
      </c>
      <c r="E31" s="715"/>
      <c r="F31" s="715"/>
      <c r="G31" s="716" t="s">
        <v>2581</v>
      </c>
      <c r="H31" s="236"/>
      <c r="I31" s="700" t="s">
        <v>60</v>
      </c>
      <c r="J31" s="10">
        <v>0.96599999999999997</v>
      </c>
      <c r="K31" s="11">
        <v>95</v>
      </c>
      <c r="L31" s="11"/>
      <c r="M31" s="11"/>
      <c r="N31" s="292"/>
      <c r="O31" s="700" t="s">
        <v>830</v>
      </c>
      <c r="P31" s="292"/>
      <c r="Q31" s="17"/>
      <c r="R31" s="267" t="s">
        <v>113</v>
      </c>
      <c r="S31" s="22" t="s">
        <v>87</v>
      </c>
      <c r="T31" s="22" t="s">
        <v>841</v>
      </c>
      <c r="U31" s="244">
        <v>0.08</v>
      </c>
      <c r="V31" s="22" t="s">
        <v>83</v>
      </c>
      <c r="W31" s="23" t="s">
        <v>278</v>
      </c>
      <c r="X31" s="23" t="s">
        <v>279</v>
      </c>
      <c r="Y31" s="268" t="s">
        <v>280</v>
      </c>
      <c r="AA31"/>
      <c r="AB31"/>
      <c r="AC31"/>
      <c r="AD31" s="19"/>
      <c r="AE31" s="19"/>
      <c r="AF31" s="264" t="s">
        <v>1220</v>
      </c>
      <c r="AG31" s="722" t="s">
        <v>1213</v>
      </c>
      <c r="AH31" s="9" t="s">
        <v>74</v>
      </c>
      <c r="AI31" s="3">
        <v>0.75</v>
      </c>
      <c r="AJ31" s="3">
        <v>0.8</v>
      </c>
      <c r="AK31" s="3">
        <v>0.77500000000000002</v>
      </c>
      <c r="AL31" s="4">
        <v>8.8888888888888893</v>
      </c>
      <c r="AM31" s="4">
        <v>14.444444444444445</v>
      </c>
      <c r="AN31" s="9" t="s">
        <v>1188</v>
      </c>
      <c r="AO31" s="256"/>
      <c r="AP31" s="256" t="s">
        <v>1542</v>
      </c>
      <c r="AQ31" s="9"/>
      <c r="AR31" s="9"/>
      <c r="AS31" s="9"/>
      <c r="AT31" s="9"/>
      <c r="AU31" s="309"/>
      <c r="BC31" s="309"/>
      <c r="BD31" s="331" t="s">
        <v>940</v>
      </c>
      <c r="BE31" s="339"/>
      <c r="BF31" s="339"/>
      <c r="BG31" s="340" t="e">
        <f t="shared" si="8"/>
        <v>#DIV/0!</v>
      </c>
      <c r="BH31" s="339"/>
      <c r="BI31" s="339"/>
      <c r="BJ31" s="340" t="e">
        <f t="shared" si="3"/>
        <v>#DIV/0!</v>
      </c>
      <c r="BK31" s="339"/>
      <c r="BL31" s="339"/>
      <c r="BM31" s="340" t="e">
        <f t="shared" si="4"/>
        <v>#DIV/0!</v>
      </c>
      <c r="BN31" s="339"/>
      <c r="BO31" s="339"/>
      <c r="BP31" s="340" t="e">
        <f t="shared" si="5"/>
        <v>#DIV/0!</v>
      </c>
      <c r="BQ31" s="339"/>
      <c r="BR31" s="339"/>
      <c r="BS31" s="340" t="e">
        <f t="shared" si="6"/>
        <v>#DIV/0!</v>
      </c>
      <c r="BT31" s="339"/>
      <c r="BU31" s="339"/>
      <c r="BV31" s="340" t="e">
        <f t="shared" si="7"/>
        <v>#DIV/0!</v>
      </c>
      <c r="BW31" s="1165"/>
      <c r="BX31" s="1166"/>
      <c r="BY31" s="342" t="str">
        <f t="shared" si="0"/>
        <v>NA</v>
      </c>
      <c r="BZ31" s="341" t="e">
        <f t="shared" si="1"/>
        <v>#DIV/0!</v>
      </c>
      <c r="CA31" s="341" t="e">
        <f t="shared" si="2"/>
        <v>#DIV/0!</v>
      </c>
      <c r="CB31" s="335"/>
      <c r="CC31" s="336"/>
      <c r="CD31" s="336"/>
      <c r="CE31" s="309"/>
      <c r="CG31" s="345"/>
      <c r="CH31" s="345"/>
      <c r="CI31" s="345"/>
      <c r="CJ31" s="345"/>
      <c r="CK31" s="345"/>
      <c r="CL31" s="17"/>
      <c r="CM31" s="236"/>
      <c r="CN31" s="345"/>
      <c r="CO31" s="345"/>
    </row>
    <row r="32" spans="1:93" ht="45" customHeight="1">
      <c r="A32" s="471" t="s">
        <v>2593</v>
      </c>
      <c r="B32" s="715"/>
      <c r="C32" s="715"/>
      <c r="D32" s="715">
        <v>0.1</v>
      </c>
      <c r="E32" s="715"/>
      <c r="F32" s="715"/>
      <c r="G32" s="716" t="s">
        <v>2578</v>
      </c>
      <c r="H32" s="236"/>
      <c r="I32" s="700" t="s">
        <v>61</v>
      </c>
      <c r="J32" s="10">
        <v>0.79300000000000004</v>
      </c>
      <c r="K32" s="11">
        <v>10</v>
      </c>
      <c r="L32" s="11"/>
      <c r="M32" s="11"/>
      <c r="N32" s="292"/>
      <c r="O32" s="699" t="s">
        <v>831</v>
      </c>
      <c r="P32" s="292"/>
      <c r="Q32" s="17"/>
      <c r="R32" s="267" t="s">
        <v>114</v>
      </c>
      <c r="S32" s="22" t="s">
        <v>82</v>
      </c>
      <c r="T32" s="22" t="s">
        <v>841</v>
      </c>
      <c r="U32" s="244">
        <v>0.13</v>
      </c>
      <c r="V32" s="22" t="s">
        <v>233</v>
      </c>
      <c r="W32" s="24" t="s">
        <v>100</v>
      </c>
      <c r="X32" s="23" t="s">
        <v>281</v>
      </c>
      <c r="Y32" s="269" t="s">
        <v>282</v>
      </c>
      <c r="AA32"/>
      <c r="AB32"/>
      <c r="AC32"/>
      <c r="AD32" s="19"/>
      <c r="AE32" s="19"/>
      <c r="AF32" s="264" t="s">
        <v>1221</v>
      </c>
      <c r="AG32" s="722" t="s">
        <v>1205</v>
      </c>
      <c r="AH32" s="9" t="s">
        <v>74</v>
      </c>
      <c r="AI32" s="3">
        <v>0.75</v>
      </c>
      <c r="AJ32" s="3">
        <v>0.8</v>
      </c>
      <c r="AK32" s="3">
        <v>0.77500000000000002</v>
      </c>
      <c r="AL32" s="4">
        <v>10</v>
      </c>
      <c r="AM32" s="4">
        <v>12.777777777777779</v>
      </c>
      <c r="AN32" s="9" t="s">
        <v>1188</v>
      </c>
      <c r="AO32" s="256"/>
      <c r="AP32" s="256" t="s">
        <v>1543</v>
      </c>
      <c r="AQ32" s="9"/>
      <c r="AR32" s="9"/>
      <c r="AS32" s="9"/>
      <c r="AT32" s="9"/>
      <c r="AU32" s="309"/>
      <c r="BC32" s="309"/>
      <c r="BD32" s="331" t="s">
        <v>941</v>
      </c>
      <c r="BE32" s="339"/>
      <c r="BF32" s="339"/>
      <c r="BG32" s="340" t="e">
        <f t="shared" si="8"/>
        <v>#DIV/0!</v>
      </c>
      <c r="BH32" s="339"/>
      <c r="BI32" s="339"/>
      <c r="BJ32" s="340" t="e">
        <f t="shared" si="3"/>
        <v>#DIV/0!</v>
      </c>
      <c r="BK32" s="339"/>
      <c r="BL32" s="339"/>
      <c r="BM32" s="340" t="e">
        <f t="shared" si="4"/>
        <v>#DIV/0!</v>
      </c>
      <c r="BN32" s="339"/>
      <c r="BO32" s="339"/>
      <c r="BP32" s="340" t="e">
        <f t="shared" si="5"/>
        <v>#DIV/0!</v>
      </c>
      <c r="BQ32" s="339"/>
      <c r="BR32" s="339"/>
      <c r="BS32" s="340" t="e">
        <f t="shared" si="6"/>
        <v>#DIV/0!</v>
      </c>
      <c r="BT32" s="339"/>
      <c r="BU32" s="339"/>
      <c r="BV32" s="340" t="e">
        <f t="shared" si="7"/>
        <v>#DIV/0!</v>
      </c>
      <c r="BW32" s="1165"/>
      <c r="BX32" s="1166"/>
      <c r="BY32" s="342" t="str">
        <f t="shared" si="0"/>
        <v>NA</v>
      </c>
      <c r="BZ32" s="341" t="e">
        <f t="shared" si="1"/>
        <v>#DIV/0!</v>
      </c>
      <c r="CA32" s="341" t="e">
        <f t="shared" si="2"/>
        <v>#DIV/0!</v>
      </c>
      <c r="CB32" s="335"/>
      <c r="CC32" s="336"/>
      <c r="CD32" s="336"/>
      <c r="CE32" s="309"/>
      <c r="CG32" s="345"/>
      <c r="CH32" s="345"/>
      <c r="CI32" s="345"/>
      <c r="CJ32" s="345"/>
      <c r="CK32" s="345"/>
      <c r="CL32" s="17"/>
      <c r="CM32" s="236"/>
      <c r="CN32" s="345"/>
      <c r="CO32" s="345"/>
    </row>
    <row r="33" spans="1:93" ht="45" customHeight="1">
      <c r="A33" s="706" t="s">
        <v>2585</v>
      </c>
      <c r="B33" s="707"/>
      <c r="C33" s="707"/>
      <c r="D33" s="707"/>
      <c r="E33" s="728" t="s">
        <v>2528</v>
      </c>
      <c r="F33" s="728"/>
      <c r="G33" s="728"/>
      <c r="I33" s="700" t="s">
        <v>62</v>
      </c>
      <c r="J33" s="10">
        <v>0.79300000000000004</v>
      </c>
      <c r="K33" s="11">
        <v>18</v>
      </c>
      <c r="L33" s="11"/>
      <c r="M33" s="11"/>
      <c r="N33" s="292"/>
      <c r="O33" s="699" t="s">
        <v>831</v>
      </c>
      <c r="P33" s="292"/>
      <c r="Q33" s="17"/>
      <c r="R33" s="267" t="s">
        <v>7</v>
      </c>
      <c r="S33" s="22" t="s">
        <v>87</v>
      </c>
      <c r="T33" s="22" t="s">
        <v>841</v>
      </c>
      <c r="U33" s="244">
        <v>0.13</v>
      </c>
      <c r="V33" s="22" t="s">
        <v>233</v>
      </c>
      <c r="W33" s="23" t="s">
        <v>283</v>
      </c>
      <c r="X33" s="23" t="s">
        <v>284</v>
      </c>
      <c r="Y33" s="268" t="s">
        <v>285</v>
      </c>
      <c r="AA33"/>
      <c r="AB33"/>
      <c r="AC33"/>
      <c r="AD33" s="19"/>
      <c r="AE33" s="19"/>
      <c r="AF33" s="264" t="s">
        <v>1222</v>
      </c>
      <c r="AG33" s="722" t="s">
        <v>1203</v>
      </c>
      <c r="AH33" s="9" t="s">
        <v>72</v>
      </c>
      <c r="AI33" s="3"/>
      <c r="AJ33" s="3"/>
      <c r="AK33" s="3"/>
      <c r="AL33" s="4">
        <v>15</v>
      </c>
      <c r="AM33" s="4">
        <v>22.222222222222221</v>
      </c>
      <c r="AN33" s="9" t="s">
        <v>1188</v>
      </c>
      <c r="AO33" s="256"/>
      <c r="AP33" s="256" t="s">
        <v>1544</v>
      </c>
      <c r="AQ33" s="9"/>
      <c r="AR33" s="9"/>
      <c r="AS33" s="9"/>
      <c r="AT33" s="9"/>
      <c r="AU33" s="309"/>
      <c r="BC33" s="309"/>
      <c r="BD33" s="331" t="s">
        <v>942</v>
      </c>
      <c r="BE33" s="339"/>
      <c r="BF33" s="339"/>
      <c r="BG33" s="340" t="e">
        <f t="shared" si="8"/>
        <v>#DIV/0!</v>
      </c>
      <c r="BH33" s="339"/>
      <c r="BI33" s="339"/>
      <c r="BJ33" s="340" t="e">
        <f t="shared" si="3"/>
        <v>#DIV/0!</v>
      </c>
      <c r="BK33" s="339"/>
      <c r="BL33" s="339"/>
      <c r="BM33" s="340" t="e">
        <f t="shared" si="4"/>
        <v>#DIV/0!</v>
      </c>
      <c r="BN33" s="339"/>
      <c r="BO33" s="339"/>
      <c r="BP33" s="340" t="e">
        <f t="shared" si="5"/>
        <v>#DIV/0!</v>
      </c>
      <c r="BQ33" s="339"/>
      <c r="BR33" s="339"/>
      <c r="BS33" s="340" t="e">
        <f t="shared" si="6"/>
        <v>#DIV/0!</v>
      </c>
      <c r="BT33" s="339"/>
      <c r="BU33" s="339"/>
      <c r="BV33" s="340" t="e">
        <f t="shared" si="7"/>
        <v>#DIV/0!</v>
      </c>
      <c r="BW33" s="1165"/>
      <c r="BX33" s="1166"/>
      <c r="BY33" s="342" t="str">
        <f t="shared" si="0"/>
        <v>NA</v>
      </c>
      <c r="BZ33" s="341" t="e">
        <f t="shared" si="1"/>
        <v>#DIV/0!</v>
      </c>
      <c r="CA33" s="341" t="e">
        <f t="shared" si="2"/>
        <v>#DIV/0!</v>
      </c>
      <c r="CB33" s="335"/>
      <c r="CC33" s="336"/>
      <c r="CD33" s="336"/>
      <c r="CE33" s="309"/>
      <c r="CG33" s="345"/>
      <c r="CH33" s="345"/>
      <c r="CI33" s="345"/>
      <c r="CJ33" s="345"/>
      <c r="CK33" s="345"/>
      <c r="CL33" s="17"/>
      <c r="CM33" s="236"/>
      <c r="CN33" s="345"/>
      <c r="CO33" s="345"/>
    </row>
    <row r="34" spans="1:93" ht="45" customHeight="1">
      <c r="A34" s="1" t="s">
        <v>2013</v>
      </c>
      <c r="B34" s="715">
        <v>0.75</v>
      </c>
      <c r="C34" s="715">
        <v>5</v>
      </c>
      <c r="D34" s="715">
        <v>0.5</v>
      </c>
      <c r="E34" s="715">
        <v>5.8</v>
      </c>
      <c r="F34" s="715">
        <v>310</v>
      </c>
      <c r="G34" s="716" t="s">
        <v>2455</v>
      </c>
      <c r="I34" s="700" t="s">
        <v>63</v>
      </c>
      <c r="J34" s="10">
        <v>0.79300000000000004</v>
      </c>
      <c r="K34" s="11">
        <v>55</v>
      </c>
      <c r="L34" s="11"/>
      <c r="M34" s="11"/>
      <c r="N34" s="292"/>
      <c r="O34" s="699" t="s">
        <v>831</v>
      </c>
      <c r="P34" s="292"/>
      <c r="Q34" s="17"/>
      <c r="R34" s="267" t="s">
        <v>9</v>
      </c>
      <c r="S34" s="22" t="s">
        <v>85</v>
      </c>
      <c r="T34" s="22" t="s">
        <v>841</v>
      </c>
      <c r="U34" s="244">
        <v>0.12</v>
      </c>
      <c r="V34" s="22" t="s">
        <v>233</v>
      </c>
      <c r="W34" s="23" t="s">
        <v>286</v>
      </c>
      <c r="X34" s="23" t="s">
        <v>838</v>
      </c>
      <c r="Y34" s="268" t="s">
        <v>837</v>
      </c>
      <c r="AA34"/>
      <c r="AD34" s="19"/>
      <c r="AE34" s="19"/>
      <c r="AF34" s="264" t="s">
        <v>1223</v>
      </c>
      <c r="AG34" s="722" t="s">
        <v>1213</v>
      </c>
      <c r="AH34" s="9" t="s">
        <v>74</v>
      </c>
      <c r="AI34" s="3">
        <v>0.74</v>
      </c>
      <c r="AJ34" s="3">
        <v>0.78</v>
      </c>
      <c r="AK34" s="3">
        <v>0.76</v>
      </c>
      <c r="AL34" s="4">
        <v>14.444444444444445</v>
      </c>
      <c r="AM34" s="4">
        <v>23.333333333333332</v>
      </c>
      <c r="AN34" s="9" t="s">
        <v>1198</v>
      </c>
      <c r="AO34" s="256"/>
      <c r="AP34" s="256" t="s">
        <v>1545</v>
      </c>
      <c r="AQ34" s="9"/>
      <c r="AR34" s="9"/>
      <c r="AS34" s="9"/>
      <c r="AT34" s="9"/>
      <c r="AU34" s="309"/>
      <c r="BC34" s="309"/>
      <c r="BD34" s="331" t="s">
        <v>943</v>
      </c>
      <c r="BE34" s="339"/>
      <c r="BF34" s="339"/>
      <c r="BG34" s="340" t="e">
        <f t="shared" si="8"/>
        <v>#DIV/0!</v>
      </c>
      <c r="BH34" s="339"/>
      <c r="BI34" s="339"/>
      <c r="BJ34" s="340" t="e">
        <f t="shared" si="3"/>
        <v>#DIV/0!</v>
      </c>
      <c r="BK34" s="339"/>
      <c r="BL34" s="339"/>
      <c r="BM34" s="340" t="e">
        <f t="shared" si="4"/>
        <v>#DIV/0!</v>
      </c>
      <c r="BN34" s="339"/>
      <c r="BO34" s="339"/>
      <c r="BP34" s="340" t="e">
        <f t="shared" si="5"/>
        <v>#DIV/0!</v>
      </c>
      <c r="BQ34" s="339"/>
      <c r="BR34" s="339"/>
      <c r="BS34" s="340" t="e">
        <f t="shared" si="6"/>
        <v>#DIV/0!</v>
      </c>
      <c r="BT34" s="339"/>
      <c r="BU34" s="339"/>
      <c r="BV34" s="340" t="e">
        <f t="shared" si="7"/>
        <v>#DIV/0!</v>
      </c>
      <c r="BW34" s="1165"/>
      <c r="BX34" s="1166"/>
      <c r="BY34" s="342" t="str">
        <f t="shared" si="0"/>
        <v>NA</v>
      </c>
      <c r="BZ34" s="341" t="e">
        <f t="shared" si="1"/>
        <v>#DIV/0!</v>
      </c>
      <c r="CA34" s="341" t="e">
        <f t="shared" si="2"/>
        <v>#DIV/0!</v>
      </c>
      <c r="CB34" s="335"/>
      <c r="CC34" s="336"/>
      <c r="CD34" s="336"/>
      <c r="CE34" s="309"/>
      <c r="CG34" s="345"/>
      <c r="CH34" s="345"/>
      <c r="CI34" s="345"/>
      <c r="CJ34" s="345"/>
      <c r="CK34" s="345"/>
      <c r="CL34" s="17"/>
      <c r="CM34" s="236"/>
      <c r="CN34" s="345"/>
      <c r="CO34" s="345"/>
    </row>
    <row r="35" spans="1:93" ht="45" customHeight="1">
      <c r="A35" s="1" t="s">
        <v>42</v>
      </c>
      <c r="B35" s="715">
        <v>0.75</v>
      </c>
      <c r="C35" s="715">
        <v>25</v>
      </c>
      <c r="D35" s="715">
        <v>0.3</v>
      </c>
      <c r="E35" s="715">
        <v>5.43</v>
      </c>
      <c r="F35" s="715">
        <v>280</v>
      </c>
      <c r="G35" s="716" t="s">
        <v>2460</v>
      </c>
      <c r="H35" s="236"/>
      <c r="J35" s="276"/>
      <c r="K35" s="276"/>
      <c r="L35" s="276"/>
      <c r="M35" s="276"/>
      <c r="N35" s="276"/>
      <c r="O35" s="276"/>
      <c r="Q35" s="17"/>
      <c r="R35" s="267" t="s">
        <v>115</v>
      </c>
      <c r="S35" s="22" t="s">
        <v>87</v>
      </c>
      <c r="T35" s="22" t="s">
        <v>841</v>
      </c>
      <c r="U35" s="244">
        <v>7.0000000000000007E-2</v>
      </c>
      <c r="V35" s="22" t="s">
        <v>233</v>
      </c>
      <c r="W35" s="23" t="s">
        <v>287</v>
      </c>
      <c r="X35" s="23" t="s">
        <v>288</v>
      </c>
      <c r="Y35" s="268" t="s">
        <v>289</v>
      </c>
      <c r="AA35"/>
      <c r="AB35" s="19"/>
      <c r="AC35" s="19"/>
      <c r="AD35" s="19"/>
      <c r="AE35" s="19"/>
      <c r="AF35" s="264" t="s">
        <v>1224</v>
      </c>
      <c r="AG35" s="722" t="s">
        <v>1205</v>
      </c>
      <c r="AH35" s="9" t="s">
        <v>74</v>
      </c>
      <c r="AI35" s="3">
        <v>0.76</v>
      </c>
      <c r="AJ35" s="3">
        <v>0.82</v>
      </c>
      <c r="AK35" s="3">
        <v>0.79</v>
      </c>
      <c r="AL35" s="4">
        <v>23.888888888888889</v>
      </c>
      <c r="AM35" s="4">
        <v>27.777777777777779</v>
      </c>
      <c r="AN35" s="9" t="s">
        <v>1188</v>
      </c>
      <c r="AO35" s="256"/>
      <c r="AP35" s="256" t="s">
        <v>1546</v>
      </c>
      <c r="AQ35" s="9"/>
      <c r="AR35" s="9"/>
      <c r="AS35" s="9"/>
      <c r="AT35" s="9"/>
      <c r="AU35" s="309"/>
      <c r="BC35" s="309"/>
      <c r="BD35" s="331" t="s">
        <v>944</v>
      </c>
      <c r="BE35" s="339"/>
      <c r="BF35" s="339"/>
      <c r="BG35" s="340" t="e">
        <f t="shared" si="8"/>
        <v>#DIV/0!</v>
      </c>
      <c r="BH35" s="339"/>
      <c r="BI35" s="339"/>
      <c r="BJ35" s="340" t="e">
        <f t="shared" si="3"/>
        <v>#DIV/0!</v>
      </c>
      <c r="BK35" s="339"/>
      <c r="BL35" s="339"/>
      <c r="BM35" s="340" t="e">
        <f t="shared" si="4"/>
        <v>#DIV/0!</v>
      </c>
      <c r="BN35" s="339"/>
      <c r="BO35" s="339"/>
      <c r="BP35" s="340" t="e">
        <f t="shared" si="5"/>
        <v>#DIV/0!</v>
      </c>
      <c r="BQ35" s="339"/>
      <c r="BR35" s="339"/>
      <c r="BS35" s="340" t="e">
        <f t="shared" si="6"/>
        <v>#DIV/0!</v>
      </c>
      <c r="BT35" s="339"/>
      <c r="BU35" s="339"/>
      <c r="BV35" s="340" t="e">
        <f t="shared" si="7"/>
        <v>#DIV/0!</v>
      </c>
      <c r="BW35" s="1165"/>
      <c r="BX35" s="1166"/>
      <c r="BY35" s="342" t="str">
        <f t="shared" si="0"/>
        <v>NA</v>
      </c>
      <c r="BZ35" s="341" t="e">
        <f t="shared" si="1"/>
        <v>#DIV/0!</v>
      </c>
      <c r="CA35" s="341" t="e">
        <f t="shared" si="2"/>
        <v>#DIV/0!</v>
      </c>
      <c r="CB35" s="335"/>
      <c r="CC35" s="336"/>
      <c r="CD35" s="336"/>
      <c r="CE35" s="309"/>
      <c r="CG35" s="345"/>
      <c r="CH35" s="345"/>
      <c r="CI35" s="345"/>
      <c r="CJ35" s="345"/>
      <c r="CK35" s="345"/>
      <c r="CL35" s="17"/>
      <c r="CM35" s="236"/>
      <c r="CN35" s="345"/>
      <c r="CO35" s="345"/>
    </row>
    <row r="36" spans="1:93" ht="45" customHeight="1">
      <c r="A36" s="1" t="s">
        <v>43</v>
      </c>
      <c r="B36" s="715">
        <v>0.75</v>
      </c>
      <c r="C36" s="715">
        <v>15</v>
      </c>
      <c r="D36" s="715">
        <v>0.3</v>
      </c>
      <c r="E36" s="715">
        <v>5.19</v>
      </c>
      <c r="F36" s="715">
        <v>280</v>
      </c>
      <c r="G36" s="716" t="s">
        <v>2440</v>
      </c>
      <c r="H36" s="236"/>
      <c r="I36" s="1157" t="s">
        <v>2463</v>
      </c>
      <c r="J36" s="1157"/>
      <c r="K36" s="713" t="s">
        <v>2464</v>
      </c>
      <c r="L36" s="1157" t="s">
        <v>2465</v>
      </c>
      <c r="M36" s="1157"/>
      <c r="N36" s="1157"/>
      <c r="Q36" s="17"/>
      <c r="R36" s="267" t="s">
        <v>116</v>
      </c>
      <c r="S36" s="22" t="s">
        <v>87</v>
      </c>
      <c r="T36" s="22" t="s">
        <v>841</v>
      </c>
      <c r="U36" s="244">
        <v>0.09</v>
      </c>
      <c r="V36" s="22" t="s">
        <v>233</v>
      </c>
      <c r="W36" s="23" t="s">
        <v>290</v>
      </c>
      <c r="X36" s="23" t="s">
        <v>291</v>
      </c>
      <c r="Y36" s="268" t="s">
        <v>292</v>
      </c>
      <c r="Z36" s="19"/>
      <c r="AA36"/>
      <c r="AB36" s="19"/>
      <c r="AC36" s="19"/>
      <c r="AD36" s="19"/>
      <c r="AE36" s="19"/>
      <c r="AF36" s="264" t="s">
        <v>1225</v>
      </c>
      <c r="AG36" s="722" t="s">
        <v>1205</v>
      </c>
      <c r="AH36" s="9" t="s">
        <v>74</v>
      </c>
      <c r="AI36" s="3"/>
      <c r="AJ36" s="3"/>
      <c r="AK36" s="3">
        <v>0.76500000000000001</v>
      </c>
      <c r="AL36" s="4">
        <v>19.444444444444443</v>
      </c>
      <c r="AM36" s="4">
        <v>21.111111111111111</v>
      </c>
      <c r="AN36" s="9" t="s">
        <v>1188</v>
      </c>
      <c r="AO36" s="256"/>
      <c r="AP36" s="256" t="s">
        <v>1547</v>
      </c>
      <c r="AQ36" s="9"/>
      <c r="AR36" s="9"/>
      <c r="AS36" s="9"/>
      <c r="AT36" s="9"/>
      <c r="AU36" s="309"/>
      <c r="BC36" s="309"/>
      <c r="BD36" s="331" t="s">
        <v>945</v>
      </c>
      <c r="BE36" s="339"/>
      <c r="BF36" s="339"/>
      <c r="BG36" s="340" t="e">
        <f t="shared" si="8"/>
        <v>#DIV/0!</v>
      </c>
      <c r="BH36" s="339"/>
      <c r="BI36" s="339"/>
      <c r="BJ36" s="340" t="e">
        <f t="shared" si="3"/>
        <v>#DIV/0!</v>
      </c>
      <c r="BK36" s="339"/>
      <c r="BL36" s="339"/>
      <c r="BM36" s="340" t="e">
        <f t="shared" si="4"/>
        <v>#DIV/0!</v>
      </c>
      <c r="BN36" s="339"/>
      <c r="BO36" s="339"/>
      <c r="BP36" s="340" t="e">
        <f t="shared" si="5"/>
        <v>#DIV/0!</v>
      </c>
      <c r="BQ36" s="339"/>
      <c r="BR36" s="339"/>
      <c r="BS36" s="340" t="e">
        <f t="shared" si="6"/>
        <v>#DIV/0!</v>
      </c>
      <c r="BT36" s="339"/>
      <c r="BU36" s="339"/>
      <c r="BV36" s="340" t="e">
        <f t="shared" si="7"/>
        <v>#DIV/0!</v>
      </c>
      <c r="BW36" s="1165"/>
      <c r="BX36" s="1166"/>
      <c r="BY36" s="342" t="str">
        <f t="shared" si="0"/>
        <v>NA</v>
      </c>
      <c r="BZ36" s="341" t="e">
        <f t="shared" si="1"/>
        <v>#DIV/0!</v>
      </c>
      <c r="CA36" s="341" t="e">
        <f t="shared" si="2"/>
        <v>#DIV/0!</v>
      </c>
      <c r="CB36" s="335"/>
      <c r="CC36" s="336"/>
      <c r="CD36" s="336"/>
      <c r="CE36" s="309"/>
      <c r="CG36" s="345"/>
      <c r="CH36" s="345"/>
      <c r="CI36" s="345"/>
      <c r="CJ36" s="345"/>
      <c r="CK36" s="345"/>
      <c r="CL36" s="345"/>
      <c r="CM36" s="345"/>
      <c r="CN36" s="345"/>
      <c r="CO36" s="345"/>
    </row>
    <row r="37" spans="1:93" ht="45" customHeight="1">
      <c r="A37" s="471" t="s">
        <v>813</v>
      </c>
      <c r="B37" s="715">
        <v>0.65</v>
      </c>
      <c r="C37" s="715">
        <v>3</v>
      </c>
      <c r="D37" s="715">
        <v>0.25</v>
      </c>
      <c r="E37" s="715">
        <v>6</v>
      </c>
      <c r="F37" s="715">
        <v>300</v>
      </c>
      <c r="G37" s="716"/>
      <c r="H37" s="236"/>
      <c r="I37" s="1157" t="s">
        <v>2466</v>
      </c>
      <c r="J37" s="1157"/>
      <c r="K37" s="700">
        <v>1</v>
      </c>
      <c r="L37" s="1156" t="s">
        <v>2467</v>
      </c>
      <c r="M37" s="1156"/>
      <c r="N37" s="1156"/>
      <c r="Q37" s="17"/>
      <c r="R37" s="267" t="s">
        <v>106</v>
      </c>
      <c r="S37" s="22" t="s">
        <v>87</v>
      </c>
      <c r="T37" s="22" t="s">
        <v>841</v>
      </c>
      <c r="U37" s="244">
        <v>0.15</v>
      </c>
      <c r="V37" s="22" t="s">
        <v>233</v>
      </c>
      <c r="W37" s="23" t="s">
        <v>293</v>
      </c>
      <c r="X37" s="23" t="s">
        <v>294</v>
      </c>
      <c r="Y37" s="268" t="s">
        <v>295</v>
      </c>
      <c r="Z37" s="19"/>
      <c r="AA37"/>
      <c r="AB37" s="19"/>
      <c r="AC37" s="19"/>
      <c r="AD37" s="19"/>
      <c r="AE37" s="19"/>
      <c r="AF37" s="264" t="s">
        <v>1226</v>
      </c>
      <c r="AG37" s="722" t="s">
        <v>1205</v>
      </c>
      <c r="AH37" s="9" t="s">
        <v>74</v>
      </c>
      <c r="AI37" s="3">
        <v>0.75</v>
      </c>
      <c r="AJ37" s="3">
        <v>0.8</v>
      </c>
      <c r="AK37" s="3">
        <v>0.77500000000000002</v>
      </c>
      <c r="AL37" s="4">
        <v>21.111111111111111</v>
      </c>
      <c r="AM37" s="4">
        <v>27.777777777777779</v>
      </c>
      <c r="AN37" s="9" t="s">
        <v>1190</v>
      </c>
      <c r="AO37" s="256"/>
      <c r="AP37" s="256" t="s">
        <v>1548</v>
      </c>
      <c r="AQ37" s="9"/>
      <c r="AR37" s="9"/>
      <c r="AS37" s="9"/>
      <c r="AT37" s="9"/>
      <c r="AU37" s="309"/>
      <c r="BC37" s="309"/>
      <c r="BD37" s="326" t="s">
        <v>946</v>
      </c>
      <c r="BE37" s="339"/>
      <c r="BF37" s="339"/>
      <c r="BG37" s="340" t="e">
        <f t="shared" si="8"/>
        <v>#DIV/0!</v>
      </c>
      <c r="BH37" s="339"/>
      <c r="BI37" s="339"/>
      <c r="BJ37" s="340" t="e">
        <f t="shared" si="3"/>
        <v>#DIV/0!</v>
      </c>
      <c r="BK37" s="339"/>
      <c r="BL37" s="339"/>
      <c r="BM37" s="340" t="e">
        <f t="shared" si="4"/>
        <v>#DIV/0!</v>
      </c>
      <c r="BN37" s="339"/>
      <c r="BO37" s="339"/>
      <c r="BP37" s="340" t="e">
        <f t="shared" si="5"/>
        <v>#DIV/0!</v>
      </c>
      <c r="BQ37" s="339"/>
      <c r="BR37" s="339"/>
      <c r="BS37" s="340" t="e">
        <f t="shared" si="6"/>
        <v>#DIV/0!</v>
      </c>
      <c r="BT37" s="339"/>
      <c r="BU37" s="339"/>
      <c r="BV37" s="340" t="e">
        <f t="shared" si="7"/>
        <v>#DIV/0!</v>
      </c>
      <c r="BW37" s="1165"/>
      <c r="BX37" s="1166"/>
      <c r="BY37" s="342" t="str">
        <f t="shared" si="0"/>
        <v>NA</v>
      </c>
      <c r="BZ37" s="341" t="e">
        <f t="shared" si="1"/>
        <v>#DIV/0!</v>
      </c>
      <c r="CA37" s="341" t="e">
        <f t="shared" si="2"/>
        <v>#DIV/0!</v>
      </c>
      <c r="CB37" s="335"/>
      <c r="CC37" s="336"/>
      <c r="CD37" s="336"/>
      <c r="CE37" s="309"/>
    </row>
    <row r="38" spans="1:93" ht="45" customHeight="1">
      <c r="A38" s="471" t="s">
        <v>2556</v>
      </c>
      <c r="B38" s="715">
        <v>0.63</v>
      </c>
      <c r="C38" s="715">
        <v>8</v>
      </c>
      <c r="D38" s="715">
        <v>0.2</v>
      </c>
      <c r="E38" s="715">
        <v>5.7</v>
      </c>
      <c r="F38" s="715">
        <v>280</v>
      </c>
      <c r="G38" s="718" t="s">
        <v>2582</v>
      </c>
      <c r="H38" s="236"/>
      <c r="I38" s="1157" t="s">
        <v>2468</v>
      </c>
      <c r="J38" s="1157"/>
      <c r="K38" s="700">
        <v>1</v>
      </c>
      <c r="L38" s="1156" t="s">
        <v>2469</v>
      </c>
      <c r="M38" s="1156"/>
      <c r="N38" s="1156"/>
      <c r="Q38" s="17"/>
      <c r="R38" s="267" t="s">
        <v>117</v>
      </c>
      <c r="S38" s="22" t="s">
        <v>82</v>
      </c>
      <c r="T38" s="22" t="s">
        <v>841</v>
      </c>
      <c r="U38" s="244">
        <v>0.1</v>
      </c>
      <c r="V38" s="22" t="s">
        <v>233</v>
      </c>
      <c r="W38" s="23" t="s">
        <v>296</v>
      </c>
      <c r="X38" s="23" t="s">
        <v>297</v>
      </c>
      <c r="Y38" s="269" t="s">
        <v>118</v>
      </c>
      <c r="Z38" s="19"/>
      <c r="AA38" s="19"/>
      <c r="AB38" s="19"/>
      <c r="AC38" s="19"/>
      <c r="AD38" s="19"/>
      <c r="AE38" s="19"/>
      <c r="AF38" s="264" t="s">
        <v>1227</v>
      </c>
      <c r="AG38" s="722" t="s">
        <v>1205</v>
      </c>
      <c r="AH38" s="9" t="s">
        <v>74</v>
      </c>
      <c r="AI38" s="3">
        <v>0.7</v>
      </c>
      <c r="AJ38" s="3">
        <v>0.75</v>
      </c>
      <c r="AK38" s="3">
        <v>0.72499999999999998</v>
      </c>
      <c r="AL38" s="4">
        <v>18.333333333333332</v>
      </c>
      <c r="AM38" s="4">
        <v>21.111111111111111</v>
      </c>
      <c r="AN38" s="9" t="s">
        <v>1186</v>
      </c>
      <c r="AO38" s="256"/>
      <c r="AP38" s="256" t="s">
        <v>1549</v>
      </c>
      <c r="AQ38" s="9"/>
      <c r="AR38" s="9"/>
      <c r="AS38" s="9"/>
      <c r="AT38" s="9"/>
      <c r="AU38" s="309"/>
      <c r="BC38" s="309"/>
      <c r="BD38" s="331" t="s">
        <v>947</v>
      </c>
      <c r="BE38" s="339"/>
      <c r="BF38" s="339"/>
      <c r="BG38" s="340" t="e">
        <f t="shared" si="8"/>
        <v>#DIV/0!</v>
      </c>
      <c r="BH38" s="339"/>
      <c r="BI38" s="339"/>
      <c r="BJ38" s="340" t="e">
        <f t="shared" si="3"/>
        <v>#DIV/0!</v>
      </c>
      <c r="BK38" s="339"/>
      <c r="BL38" s="339"/>
      <c r="BM38" s="340" t="e">
        <f t="shared" si="4"/>
        <v>#DIV/0!</v>
      </c>
      <c r="BN38" s="339"/>
      <c r="BO38" s="339"/>
      <c r="BP38" s="340" t="e">
        <f t="shared" si="5"/>
        <v>#DIV/0!</v>
      </c>
      <c r="BQ38" s="339"/>
      <c r="BR38" s="339"/>
      <c r="BS38" s="340" t="e">
        <f t="shared" si="6"/>
        <v>#DIV/0!</v>
      </c>
      <c r="BT38" s="339"/>
      <c r="BU38" s="339"/>
      <c r="BV38" s="340" t="e">
        <f t="shared" si="7"/>
        <v>#DIV/0!</v>
      </c>
      <c r="BW38" s="1165"/>
      <c r="BX38" s="1166"/>
      <c r="BY38" s="342" t="str">
        <f t="shared" si="0"/>
        <v>NA</v>
      </c>
      <c r="BZ38" s="341" t="e">
        <f t="shared" si="1"/>
        <v>#DIV/0!</v>
      </c>
      <c r="CA38" s="341" t="e">
        <f t="shared" si="2"/>
        <v>#DIV/0!</v>
      </c>
      <c r="CB38" s="335"/>
      <c r="CC38" s="336"/>
      <c r="CD38" s="336"/>
      <c r="CE38" s="309"/>
    </row>
    <row r="39" spans="1:93" ht="45" customHeight="1">
      <c r="A39" s="471" t="s">
        <v>2583</v>
      </c>
      <c r="B39" s="715">
        <v>0.6</v>
      </c>
      <c r="C39" s="715">
        <v>10</v>
      </c>
      <c r="D39" s="715">
        <v>1</v>
      </c>
      <c r="E39" s="715">
        <v>5.6</v>
      </c>
      <c r="F39" s="715">
        <v>260</v>
      </c>
      <c r="G39" s="718" t="s">
        <v>2584</v>
      </c>
      <c r="H39"/>
      <c r="I39" s="1157" t="s">
        <v>2470</v>
      </c>
      <c r="J39" s="1157"/>
      <c r="K39" s="700" t="s">
        <v>2471</v>
      </c>
      <c r="L39" s="1156" t="s">
        <v>2472</v>
      </c>
      <c r="M39" s="1156"/>
      <c r="N39" s="1156"/>
      <c r="O39" s="737"/>
      <c r="Q39" s="17"/>
      <c r="R39" s="267" t="s">
        <v>36</v>
      </c>
      <c r="S39" s="22" t="s">
        <v>85</v>
      </c>
      <c r="T39" s="22" t="s">
        <v>841</v>
      </c>
      <c r="U39" s="244">
        <v>0.05</v>
      </c>
      <c r="V39" s="22" t="s">
        <v>233</v>
      </c>
      <c r="W39" s="23" t="s">
        <v>298</v>
      </c>
      <c r="X39" s="23" t="s">
        <v>299</v>
      </c>
      <c r="Y39" s="268" t="s">
        <v>300</v>
      </c>
      <c r="Z39" s="19"/>
      <c r="AA39" s="19"/>
      <c r="AB39" s="19"/>
      <c r="AC39" s="19"/>
      <c r="AD39" s="19"/>
      <c r="AE39" s="19"/>
      <c r="AF39" s="264" t="s">
        <v>1228</v>
      </c>
      <c r="AG39" s="722" t="s">
        <v>1185</v>
      </c>
      <c r="AH39" s="9" t="s">
        <v>74</v>
      </c>
      <c r="AI39" s="3">
        <v>0.72</v>
      </c>
      <c r="AJ39" s="3">
        <v>0.76</v>
      </c>
      <c r="AK39" s="3">
        <v>0.74</v>
      </c>
      <c r="AL39" s="4">
        <v>16.666666666666668</v>
      </c>
      <c r="AM39" s="4">
        <v>22.222222222222221</v>
      </c>
      <c r="AN39" s="9" t="s">
        <v>1190</v>
      </c>
      <c r="AO39" s="256"/>
      <c r="AP39" s="256" t="s">
        <v>1550</v>
      </c>
      <c r="AQ39" s="9"/>
      <c r="AR39" s="9"/>
      <c r="AS39" s="9"/>
      <c r="AT39" s="9"/>
      <c r="AU39" s="309"/>
      <c r="BC39" s="309"/>
      <c r="BD39" s="331" t="s">
        <v>948</v>
      </c>
      <c r="BE39" s="339"/>
      <c r="BF39" s="339"/>
      <c r="BG39" s="340" t="e">
        <f t="shared" si="8"/>
        <v>#DIV/0!</v>
      </c>
      <c r="BH39" s="339"/>
      <c r="BI39" s="339"/>
      <c r="BJ39" s="340" t="e">
        <f t="shared" si="3"/>
        <v>#DIV/0!</v>
      </c>
      <c r="BK39" s="339"/>
      <c r="BL39" s="339"/>
      <c r="BM39" s="340" t="e">
        <f t="shared" si="4"/>
        <v>#DIV/0!</v>
      </c>
      <c r="BN39" s="339"/>
      <c r="BO39" s="339"/>
      <c r="BP39" s="340" t="e">
        <f t="shared" si="5"/>
        <v>#DIV/0!</v>
      </c>
      <c r="BQ39" s="339"/>
      <c r="BR39" s="339"/>
      <c r="BS39" s="340" t="e">
        <f t="shared" si="6"/>
        <v>#DIV/0!</v>
      </c>
      <c r="BT39" s="339"/>
      <c r="BU39" s="339"/>
      <c r="BV39" s="340" t="e">
        <f t="shared" si="7"/>
        <v>#DIV/0!</v>
      </c>
      <c r="BW39" s="1165"/>
      <c r="BX39" s="1166"/>
      <c r="BY39" s="342" t="str">
        <f t="shared" si="0"/>
        <v>NA</v>
      </c>
      <c r="BZ39" s="341" t="e">
        <f t="shared" si="1"/>
        <v>#DIV/0!</v>
      </c>
      <c r="CA39" s="341" t="e">
        <f t="shared" si="2"/>
        <v>#DIV/0!</v>
      </c>
      <c r="CB39" s="335"/>
      <c r="CC39" s="336"/>
      <c r="CD39" s="336"/>
      <c r="CE39" s="309"/>
    </row>
    <row r="40" spans="1:93" ht="45" customHeight="1">
      <c r="A40" s="471" t="s">
        <v>2602</v>
      </c>
      <c r="B40" s="715">
        <v>0.75</v>
      </c>
      <c r="C40" s="715">
        <v>3</v>
      </c>
      <c r="D40" s="715">
        <v>0.4</v>
      </c>
      <c r="E40" s="715">
        <v>5.8</v>
      </c>
      <c r="F40" s="715">
        <v>310</v>
      </c>
      <c r="G40" s="718" t="s">
        <v>2603</v>
      </c>
      <c r="H40"/>
      <c r="I40" s="1157" t="s">
        <v>2516</v>
      </c>
      <c r="J40" s="1157"/>
      <c r="K40" s="700">
        <v>1</v>
      </c>
      <c r="L40" s="1156" t="s">
        <v>2473</v>
      </c>
      <c r="M40" s="1156"/>
      <c r="N40" s="1156"/>
      <c r="O40"/>
      <c r="P40" s="469"/>
      <c r="Q40" s="17"/>
      <c r="R40" s="267" t="s">
        <v>119</v>
      </c>
      <c r="S40" s="22" t="s">
        <v>87</v>
      </c>
      <c r="T40" s="22" t="s">
        <v>841</v>
      </c>
      <c r="U40" s="244">
        <v>0.06</v>
      </c>
      <c r="V40" s="22" t="s">
        <v>233</v>
      </c>
      <c r="W40" s="23" t="s">
        <v>301</v>
      </c>
      <c r="X40" s="23" t="s">
        <v>302</v>
      </c>
      <c r="Y40" s="268" t="s">
        <v>303</v>
      </c>
      <c r="Z40" s="19"/>
      <c r="AA40" s="19"/>
      <c r="AB40" s="19"/>
      <c r="AC40" s="19"/>
      <c r="AD40" s="19"/>
      <c r="AE40" s="19"/>
      <c r="AF40" s="264" t="s">
        <v>1229</v>
      </c>
      <c r="AG40" s="722" t="s">
        <v>1185</v>
      </c>
      <c r="AH40" s="9" t="s">
        <v>74</v>
      </c>
      <c r="AI40" s="3">
        <v>0.72</v>
      </c>
      <c r="AJ40" s="3">
        <v>0.76</v>
      </c>
      <c r="AK40" s="3">
        <v>0.74</v>
      </c>
      <c r="AL40" s="4">
        <v>18.333333333333332</v>
      </c>
      <c r="AM40" s="4">
        <v>23.888888888888889</v>
      </c>
      <c r="AN40" s="9" t="s">
        <v>1196</v>
      </c>
      <c r="AO40" s="256"/>
      <c r="AP40" s="256" t="s">
        <v>1551</v>
      </c>
      <c r="AQ40" s="9"/>
      <c r="AR40" s="9"/>
      <c r="AS40" s="9"/>
      <c r="AT40" s="9"/>
      <c r="AU40" s="309"/>
      <c r="BC40" s="309"/>
      <c r="BD40" s="326" t="s">
        <v>949</v>
      </c>
      <c r="BE40" s="339"/>
      <c r="BF40" s="339"/>
      <c r="BG40" s="340" t="e">
        <f t="shared" si="8"/>
        <v>#DIV/0!</v>
      </c>
      <c r="BH40" s="339"/>
      <c r="BI40" s="339"/>
      <c r="BJ40" s="340" t="e">
        <f t="shared" si="3"/>
        <v>#DIV/0!</v>
      </c>
      <c r="BK40" s="339"/>
      <c r="BL40" s="339"/>
      <c r="BM40" s="340" t="e">
        <f t="shared" si="4"/>
        <v>#DIV/0!</v>
      </c>
      <c r="BN40" s="339"/>
      <c r="BO40" s="339"/>
      <c r="BP40" s="340" t="e">
        <f t="shared" si="5"/>
        <v>#DIV/0!</v>
      </c>
      <c r="BQ40" s="339"/>
      <c r="BR40" s="339"/>
      <c r="BS40" s="340" t="e">
        <f t="shared" si="6"/>
        <v>#DIV/0!</v>
      </c>
      <c r="BT40" s="339"/>
      <c r="BU40" s="339"/>
      <c r="BV40" s="340" t="e">
        <f t="shared" si="7"/>
        <v>#DIV/0!</v>
      </c>
      <c r="BW40" s="1165"/>
      <c r="BX40" s="1166"/>
      <c r="BY40" s="342" t="str">
        <f t="shared" si="0"/>
        <v>NA</v>
      </c>
      <c r="BZ40" s="341" t="e">
        <f t="shared" si="1"/>
        <v>#DIV/0!</v>
      </c>
      <c r="CA40" s="341" t="e">
        <f t="shared" si="2"/>
        <v>#DIV/0!</v>
      </c>
      <c r="CB40" s="335"/>
      <c r="CC40" s="336"/>
      <c r="CD40" s="336"/>
      <c r="CE40" s="309"/>
    </row>
    <row r="41" spans="1:93" ht="45" customHeight="1">
      <c r="A41" s="471" t="s">
        <v>2596</v>
      </c>
      <c r="B41" s="715">
        <v>0.75</v>
      </c>
      <c r="C41" s="715">
        <v>5</v>
      </c>
      <c r="D41" s="715">
        <v>0.7</v>
      </c>
      <c r="E41" s="715">
        <v>5.7</v>
      </c>
      <c r="F41" s="715">
        <v>305</v>
      </c>
      <c r="G41" s="718" t="s">
        <v>2604</v>
      </c>
      <c r="H41"/>
      <c r="I41" s="1157" t="s">
        <v>2474</v>
      </c>
      <c r="J41" s="1157"/>
      <c r="K41" s="700">
        <v>1</v>
      </c>
      <c r="L41" s="1156" t="s">
        <v>2475</v>
      </c>
      <c r="M41" s="1156"/>
      <c r="N41" s="1156"/>
      <c r="O41"/>
      <c r="P41" s="236"/>
      <c r="Q41" s="17"/>
      <c r="R41" s="267" t="s">
        <v>120</v>
      </c>
      <c r="S41" s="22" t="s">
        <v>87</v>
      </c>
      <c r="T41" s="22" t="s">
        <v>841</v>
      </c>
      <c r="U41" s="244">
        <v>0.11</v>
      </c>
      <c r="V41" s="22" t="s">
        <v>121</v>
      </c>
      <c r="W41" s="23" t="s">
        <v>243</v>
      </c>
      <c r="X41" s="23" t="s">
        <v>304</v>
      </c>
      <c r="Y41" s="269" t="s">
        <v>122</v>
      </c>
      <c r="Z41" s="19"/>
      <c r="AA41" s="19"/>
      <c r="AB41" s="19"/>
      <c r="AC41" s="19"/>
      <c r="AD41" s="19"/>
      <c r="AE41" s="19"/>
      <c r="AF41" s="264" t="s">
        <v>1230</v>
      </c>
      <c r="AG41" s="722" t="s">
        <v>1185</v>
      </c>
      <c r="AH41" s="9" t="s">
        <v>74</v>
      </c>
      <c r="AI41" s="3">
        <v>0.74</v>
      </c>
      <c r="AJ41" s="3">
        <v>0.78</v>
      </c>
      <c r="AK41" s="3">
        <v>0.76</v>
      </c>
      <c r="AL41" s="4">
        <v>18.333333333333332</v>
      </c>
      <c r="AM41" s="4">
        <v>25</v>
      </c>
      <c r="AN41" s="9" t="s">
        <v>1188</v>
      </c>
      <c r="AO41" s="256"/>
      <c r="AP41" s="256" t="s">
        <v>1552</v>
      </c>
      <c r="AQ41" s="9"/>
      <c r="AR41" s="9"/>
      <c r="AS41" s="9"/>
      <c r="AT41" s="9"/>
      <c r="AU41" s="309"/>
      <c r="BC41" s="309"/>
      <c r="BD41" s="331" t="s">
        <v>950</v>
      </c>
      <c r="BE41" s="339"/>
      <c r="BF41" s="339"/>
      <c r="BG41" s="340" t="e">
        <f t="shared" si="8"/>
        <v>#DIV/0!</v>
      </c>
      <c r="BH41" s="339"/>
      <c r="BI41" s="339"/>
      <c r="BJ41" s="340" t="e">
        <f t="shared" si="3"/>
        <v>#DIV/0!</v>
      </c>
      <c r="BK41" s="339"/>
      <c r="BL41" s="339"/>
      <c r="BM41" s="340" t="e">
        <f t="shared" si="4"/>
        <v>#DIV/0!</v>
      </c>
      <c r="BN41" s="339"/>
      <c r="BO41" s="339"/>
      <c r="BP41" s="340" t="e">
        <f t="shared" si="5"/>
        <v>#DIV/0!</v>
      </c>
      <c r="BQ41" s="339"/>
      <c r="BR41" s="339"/>
      <c r="BS41" s="340" t="e">
        <f t="shared" si="6"/>
        <v>#DIV/0!</v>
      </c>
      <c r="BT41" s="339"/>
      <c r="BU41" s="339"/>
      <c r="BV41" s="340" t="e">
        <f t="shared" si="7"/>
        <v>#DIV/0!</v>
      </c>
      <c r="BW41" s="1165"/>
      <c r="BX41" s="1166"/>
      <c r="BY41" s="342" t="str">
        <f t="shared" si="0"/>
        <v>NA</v>
      </c>
      <c r="BZ41" s="341" t="e">
        <f t="shared" si="1"/>
        <v>#DIV/0!</v>
      </c>
      <c r="CA41" s="341" t="e">
        <f t="shared" si="2"/>
        <v>#DIV/0!</v>
      </c>
      <c r="CB41" s="335"/>
      <c r="CC41" s="336"/>
      <c r="CD41" s="336"/>
      <c r="CE41" s="309"/>
    </row>
    <row r="42" spans="1:93" ht="45" customHeight="1">
      <c r="A42" s="471" t="s">
        <v>2598</v>
      </c>
      <c r="B42" s="715">
        <v>0.75</v>
      </c>
      <c r="C42" s="715">
        <v>4</v>
      </c>
      <c r="D42" s="715">
        <v>0.6</v>
      </c>
      <c r="E42" s="715">
        <v>5.7</v>
      </c>
      <c r="F42" s="715">
        <v>300</v>
      </c>
      <c r="G42" s="718" t="s">
        <v>2599</v>
      </c>
      <c r="H42"/>
      <c r="I42" s="1157" t="s">
        <v>2476</v>
      </c>
      <c r="J42" s="1157"/>
      <c r="K42" s="700" t="s">
        <v>2477</v>
      </c>
      <c r="L42" s="1156" t="s">
        <v>2478</v>
      </c>
      <c r="M42" s="1156"/>
      <c r="N42" s="1156"/>
      <c r="O42"/>
      <c r="P42" s="236"/>
      <c r="Q42" s="17"/>
      <c r="R42" s="267" t="s">
        <v>123</v>
      </c>
      <c r="S42" s="22" t="s">
        <v>87</v>
      </c>
      <c r="T42" s="22" t="s">
        <v>841</v>
      </c>
      <c r="U42" s="244">
        <v>0.06</v>
      </c>
      <c r="V42" s="22" t="s">
        <v>83</v>
      </c>
      <c r="W42" s="23" t="s">
        <v>305</v>
      </c>
      <c r="X42" s="23" t="s">
        <v>306</v>
      </c>
      <c r="Y42" s="268" t="s">
        <v>307</v>
      </c>
      <c r="Z42" s="19"/>
      <c r="AA42" s="19"/>
      <c r="AB42" s="19"/>
      <c r="AC42" s="19"/>
      <c r="AD42" s="19"/>
      <c r="AE42" s="19"/>
      <c r="AF42" s="264" t="s">
        <v>1231</v>
      </c>
      <c r="AG42" s="722" t="s">
        <v>1185</v>
      </c>
      <c r="AH42" s="9" t="s">
        <v>74</v>
      </c>
      <c r="AI42" s="3">
        <v>0.72</v>
      </c>
      <c r="AJ42" s="3">
        <v>0.77</v>
      </c>
      <c r="AK42" s="3">
        <v>0.745</v>
      </c>
      <c r="AL42" s="4">
        <v>18.333333333333332</v>
      </c>
      <c r="AM42" s="4">
        <v>23.888888888888889</v>
      </c>
      <c r="AN42" s="9" t="s">
        <v>1188</v>
      </c>
      <c r="AO42" s="256"/>
      <c r="AP42" s="256" t="s">
        <v>1553</v>
      </c>
      <c r="AQ42" s="9"/>
      <c r="AR42" s="9"/>
      <c r="AS42" s="9"/>
      <c r="AT42" s="9"/>
      <c r="AU42" s="309"/>
      <c r="BC42" s="309"/>
      <c r="BD42" s="331" t="s">
        <v>951</v>
      </c>
      <c r="BE42" s="339"/>
      <c r="BF42" s="339"/>
      <c r="BG42" s="340" t="e">
        <f t="shared" si="8"/>
        <v>#DIV/0!</v>
      </c>
      <c r="BH42" s="339"/>
      <c r="BI42" s="339"/>
      <c r="BJ42" s="340" t="e">
        <f t="shared" si="3"/>
        <v>#DIV/0!</v>
      </c>
      <c r="BK42" s="339"/>
      <c r="BL42" s="339"/>
      <c r="BM42" s="340" t="e">
        <f t="shared" si="4"/>
        <v>#DIV/0!</v>
      </c>
      <c r="BN42" s="339"/>
      <c r="BO42" s="339"/>
      <c r="BP42" s="340" t="e">
        <f t="shared" si="5"/>
        <v>#DIV/0!</v>
      </c>
      <c r="BQ42" s="339"/>
      <c r="BR42" s="339"/>
      <c r="BS42" s="340" t="e">
        <f t="shared" si="6"/>
        <v>#DIV/0!</v>
      </c>
      <c r="BT42" s="339"/>
      <c r="BU42" s="339"/>
      <c r="BV42" s="340" t="e">
        <f t="shared" si="7"/>
        <v>#DIV/0!</v>
      </c>
      <c r="BW42" s="1165"/>
      <c r="BX42" s="1166"/>
      <c r="BY42" s="342" t="str">
        <f t="shared" si="0"/>
        <v>NA</v>
      </c>
      <c r="BZ42" s="341" t="e">
        <f t="shared" si="1"/>
        <v>#DIV/0!</v>
      </c>
      <c r="CA42" s="341" t="e">
        <f t="shared" si="2"/>
        <v>#DIV/0!</v>
      </c>
      <c r="CB42" s="335"/>
      <c r="CC42" s="336"/>
      <c r="CD42" s="336"/>
      <c r="CE42" s="309"/>
      <c r="CG42" s="309"/>
      <c r="CH42" s="309"/>
    </row>
    <row r="43" spans="1:93" ht="45" customHeight="1">
      <c r="A43" s="471" t="s">
        <v>2600</v>
      </c>
      <c r="B43" s="715">
        <v>0.75</v>
      </c>
      <c r="C43" s="715">
        <v>6</v>
      </c>
      <c r="D43" s="715">
        <v>1</v>
      </c>
      <c r="E43" s="715">
        <v>5.6</v>
      </c>
      <c r="F43" s="715">
        <v>275</v>
      </c>
      <c r="G43" s="718" t="s">
        <v>2601</v>
      </c>
      <c r="H43"/>
      <c r="I43" s="1157" t="s">
        <v>2479</v>
      </c>
      <c r="J43" s="1157"/>
      <c r="K43" s="700">
        <v>0</v>
      </c>
      <c r="L43" s="1156" t="s">
        <v>2480</v>
      </c>
      <c r="M43" s="1156"/>
      <c r="N43" s="1156"/>
      <c r="O43"/>
      <c r="Q43" s="17"/>
      <c r="R43" s="267" t="s">
        <v>124</v>
      </c>
      <c r="S43" s="22" t="s">
        <v>87</v>
      </c>
      <c r="T43" s="22" t="s">
        <v>841</v>
      </c>
      <c r="U43" s="244">
        <v>0.15</v>
      </c>
      <c r="V43" s="22" t="s">
        <v>233</v>
      </c>
      <c r="W43" s="23" t="s">
        <v>308</v>
      </c>
      <c r="X43" s="23" t="s">
        <v>309</v>
      </c>
      <c r="Y43" s="268" t="s">
        <v>310</v>
      </c>
      <c r="Z43" s="19"/>
      <c r="AA43" s="19"/>
      <c r="AB43" s="19"/>
      <c r="AC43" s="19"/>
      <c r="AD43" s="19"/>
      <c r="AE43" s="19"/>
      <c r="AF43" s="264" t="s">
        <v>1232</v>
      </c>
      <c r="AG43" s="722" t="s">
        <v>1185</v>
      </c>
      <c r="AH43" s="9" t="s">
        <v>74</v>
      </c>
      <c r="AI43" s="3">
        <v>0.72</v>
      </c>
      <c r="AJ43" s="3">
        <v>0.76</v>
      </c>
      <c r="AK43" s="3">
        <v>0.74</v>
      </c>
      <c r="AL43" s="4">
        <v>20</v>
      </c>
      <c r="AM43" s="4">
        <v>26.666666666666668</v>
      </c>
      <c r="AN43" s="9" t="s">
        <v>1188</v>
      </c>
      <c r="AO43" s="256"/>
      <c r="AP43" s="256" t="s">
        <v>1554</v>
      </c>
      <c r="AQ43" s="9"/>
      <c r="AR43" s="9"/>
      <c r="AS43" s="9"/>
      <c r="AT43" s="9"/>
      <c r="AU43" s="309"/>
      <c r="BC43" s="309"/>
      <c r="BD43" s="331" t="s">
        <v>952</v>
      </c>
      <c r="BE43" s="339"/>
      <c r="BF43" s="339"/>
      <c r="BG43" s="340" t="e">
        <f t="shared" si="8"/>
        <v>#DIV/0!</v>
      </c>
      <c r="BH43" s="339"/>
      <c r="BI43" s="339"/>
      <c r="BJ43" s="340" t="e">
        <f t="shared" si="3"/>
        <v>#DIV/0!</v>
      </c>
      <c r="BK43" s="339"/>
      <c r="BL43" s="339"/>
      <c r="BM43" s="340" t="e">
        <f t="shared" si="4"/>
        <v>#DIV/0!</v>
      </c>
      <c r="BN43" s="339"/>
      <c r="BO43" s="339"/>
      <c r="BP43" s="340" t="e">
        <f t="shared" si="5"/>
        <v>#DIV/0!</v>
      </c>
      <c r="BQ43" s="339"/>
      <c r="BR43" s="339"/>
      <c r="BS43" s="340" t="e">
        <f t="shared" si="6"/>
        <v>#DIV/0!</v>
      </c>
      <c r="BT43" s="339"/>
      <c r="BU43" s="339"/>
      <c r="BV43" s="340" t="e">
        <f t="shared" si="7"/>
        <v>#DIV/0!</v>
      </c>
      <c r="BW43" s="1165"/>
      <c r="BX43" s="1166"/>
      <c r="BY43" s="342" t="str">
        <f t="shared" si="0"/>
        <v>NA</v>
      </c>
      <c r="BZ43" s="341" t="e">
        <f t="shared" si="1"/>
        <v>#DIV/0!</v>
      </c>
      <c r="CA43" s="341" t="e">
        <f t="shared" si="2"/>
        <v>#DIV/0!</v>
      </c>
      <c r="CB43" s="335"/>
      <c r="CC43" s="336"/>
      <c r="CD43" s="336"/>
      <c r="CE43" s="309"/>
      <c r="CG43" s="309"/>
      <c r="CH43" s="309"/>
      <c r="CJ43"/>
    </row>
    <row r="44" spans="1:93" ht="45" customHeight="1">
      <c r="A44" s="703" t="s">
        <v>2449</v>
      </c>
      <c r="B44" s="704"/>
      <c r="C44" s="704"/>
      <c r="D44" s="704"/>
      <c r="E44" s="704"/>
      <c r="F44" s="704"/>
      <c r="G44" s="705"/>
      <c r="H44" s="236"/>
      <c r="O44"/>
      <c r="Q44" s="17"/>
      <c r="R44" s="267" t="s">
        <v>125</v>
      </c>
      <c r="S44" s="22" t="s">
        <v>87</v>
      </c>
      <c r="T44" s="22" t="s">
        <v>841</v>
      </c>
      <c r="U44" s="244">
        <v>0.15</v>
      </c>
      <c r="V44" s="22" t="s">
        <v>126</v>
      </c>
      <c r="W44" s="23" t="s">
        <v>311</v>
      </c>
      <c r="X44" s="23" t="s">
        <v>312</v>
      </c>
      <c r="Y44" s="268" t="s">
        <v>313</v>
      </c>
      <c r="Z44" s="19"/>
      <c r="AA44" s="19"/>
      <c r="AB44" s="19"/>
      <c r="AC44" s="19"/>
      <c r="AD44" s="19"/>
      <c r="AE44" s="19"/>
      <c r="AF44" s="264" t="s">
        <v>1233</v>
      </c>
      <c r="AG44" s="722" t="s">
        <v>1185</v>
      </c>
      <c r="AH44" s="9" t="s">
        <v>74</v>
      </c>
      <c r="AI44" s="3">
        <v>0.74</v>
      </c>
      <c r="AJ44" s="3">
        <v>0.78</v>
      </c>
      <c r="AK44" s="3">
        <v>0.76</v>
      </c>
      <c r="AL44" s="4">
        <v>20</v>
      </c>
      <c r="AM44" s="4">
        <v>25.555555555555557</v>
      </c>
      <c r="AN44" s="9" t="s">
        <v>1188</v>
      </c>
      <c r="AO44" s="256"/>
      <c r="AP44" s="256" t="s">
        <v>1555</v>
      </c>
      <c r="AQ44" s="9"/>
      <c r="AR44" s="9"/>
      <c r="AS44" s="9"/>
      <c r="AT44" s="9"/>
      <c r="AU44" s="309"/>
      <c r="BC44" s="309"/>
      <c r="BD44" s="331" t="s">
        <v>953</v>
      </c>
      <c r="BE44" s="339"/>
      <c r="BF44" s="339"/>
      <c r="BG44" s="340" t="e">
        <f t="shared" si="8"/>
        <v>#DIV/0!</v>
      </c>
      <c r="BH44" s="339"/>
      <c r="BI44" s="339"/>
      <c r="BJ44" s="340" t="e">
        <f t="shared" si="3"/>
        <v>#DIV/0!</v>
      </c>
      <c r="BK44" s="339"/>
      <c r="BL44" s="339"/>
      <c r="BM44" s="340" t="e">
        <f t="shared" si="4"/>
        <v>#DIV/0!</v>
      </c>
      <c r="BN44" s="339"/>
      <c r="BO44" s="339"/>
      <c r="BP44" s="340" t="e">
        <f t="shared" si="5"/>
        <v>#DIV/0!</v>
      </c>
      <c r="BQ44" s="339"/>
      <c r="BR44" s="339"/>
      <c r="BS44" s="340" t="e">
        <f t="shared" si="6"/>
        <v>#DIV/0!</v>
      </c>
      <c r="BT44" s="339"/>
      <c r="BU44" s="339"/>
      <c r="BV44" s="340" t="e">
        <f t="shared" si="7"/>
        <v>#DIV/0!</v>
      </c>
      <c r="BW44" s="1165"/>
      <c r="BX44" s="1166"/>
      <c r="BY44" s="342" t="str">
        <f t="shared" ref="BY44:BY107" si="9">IFERROR(BH44/BE44,"NA")</f>
        <v>NA</v>
      </c>
      <c r="BZ44" s="341" t="e">
        <f t="shared" ref="BZ44:BZ107" si="10">BV44/1.22</f>
        <v>#DIV/0!</v>
      </c>
      <c r="CA44" s="341" t="e">
        <f t="shared" ref="CA44:CA107" si="11">BZ44-(BK44/1.4+BN44/1.7)</f>
        <v>#DIV/0!</v>
      </c>
      <c r="CB44" s="335"/>
      <c r="CC44" s="336"/>
      <c r="CD44" s="336"/>
      <c r="CE44" s="309"/>
      <c r="CG44" s="309"/>
      <c r="CH44" s="309"/>
    </row>
    <row r="45" spans="1:93" ht="45" customHeight="1">
      <c r="A45" s="706" t="s">
        <v>2546</v>
      </c>
      <c r="B45" s="707"/>
      <c r="C45" s="707"/>
      <c r="D45" s="707"/>
      <c r="E45" s="728" t="s">
        <v>2529</v>
      </c>
      <c r="F45" s="728"/>
      <c r="G45" s="728"/>
      <c r="H45" s="236"/>
      <c r="I45" s="1154" t="s">
        <v>1991</v>
      </c>
      <c r="J45" s="1155"/>
      <c r="K45" s="1155"/>
      <c r="L45" s="1155"/>
      <c r="M45" s="1155"/>
      <c r="O45"/>
      <c r="Q45" s="17"/>
      <c r="R45" s="267" t="s">
        <v>127</v>
      </c>
      <c r="S45" s="22" t="s">
        <v>85</v>
      </c>
      <c r="T45" s="22" t="s">
        <v>841</v>
      </c>
      <c r="U45" s="244">
        <v>0.14000000000000001</v>
      </c>
      <c r="V45" s="22" t="s">
        <v>233</v>
      </c>
      <c r="W45" s="23" t="s">
        <v>314</v>
      </c>
      <c r="X45" s="23" t="s">
        <v>315</v>
      </c>
      <c r="Y45" s="268" t="s">
        <v>316</v>
      </c>
      <c r="Z45" s="19"/>
      <c r="AA45" s="19"/>
      <c r="AB45" s="19"/>
      <c r="AC45" s="19"/>
      <c r="AD45" s="19"/>
      <c r="AE45" s="19"/>
      <c r="AF45" s="264" t="s">
        <v>1234</v>
      </c>
      <c r="AG45" s="722" t="s">
        <v>1185</v>
      </c>
      <c r="AH45" s="9" t="s">
        <v>74</v>
      </c>
      <c r="AI45" s="3">
        <v>0.77</v>
      </c>
      <c r="AJ45" s="3">
        <v>0.83</v>
      </c>
      <c r="AK45" s="3">
        <v>0.8</v>
      </c>
      <c r="AL45" s="4">
        <v>18.333333333333332</v>
      </c>
      <c r="AM45" s="4">
        <v>25.555555555555557</v>
      </c>
      <c r="AN45" s="9" t="s">
        <v>1198</v>
      </c>
      <c r="AO45" s="256"/>
      <c r="AP45" s="256" t="s">
        <v>1556</v>
      </c>
      <c r="AQ45" s="9"/>
      <c r="AR45" s="9"/>
      <c r="AS45" s="9"/>
      <c r="AT45" s="9"/>
      <c r="AU45" s="309"/>
      <c r="BC45" s="309"/>
      <c r="BD45" s="331" t="s">
        <v>954</v>
      </c>
      <c r="BE45" s="339"/>
      <c r="BF45" s="339"/>
      <c r="BG45" s="340" t="e">
        <f t="shared" si="8"/>
        <v>#DIV/0!</v>
      </c>
      <c r="BH45" s="339"/>
      <c r="BI45" s="339"/>
      <c r="BJ45" s="340" t="e">
        <f t="shared" si="3"/>
        <v>#DIV/0!</v>
      </c>
      <c r="BK45" s="339"/>
      <c r="BL45" s="339"/>
      <c r="BM45" s="340" t="e">
        <f t="shared" si="4"/>
        <v>#DIV/0!</v>
      </c>
      <c r="BN45" s="339"/>
      <c r="BO45" s="339"/>
      <c r="BP45" s="340" t="e">
        <f t="shared" si="5"/>
        <v>#DIV/0!</v>
      </c>
      <c r="BQ45" s="339"/>
      <c r="BR45" s="339"/>
      <c r="BS45" s="340" t="e">
        <f t="shared" si="6"/>
        <v>#DIV/0!</v>
      </c>
      <c r="BT45" s="339"/>
      <c r="BU45" s="339"/>
      <c r="BV45" s="340" t="e">
        <f t="shared" si="7"/>
        <v>#DIV/0!</v>
      </c>
      <c r="BW45" s="1165"/>
      <c r="BX45" s="1166"/>
      <c r="BY45" s="342" t="str">
        <f t="shared" si="9"/>
        <v>NA</v>
      </c>
      <c r="BZ45" s="341" t="e">
        <f t="shared" si="10"/>
        <v>#DIV/0!</v>
      </c>
      <c r="CA45" s="341" t="e">
        <f t="shared" si="11"/>
        <v>#DIV/0!</v>
      </c>
      <c r="CB45" s="335"/>
      <c r="CC45" s="336"/>
      <c r="CD45" s="336"/>
      <c r="CE45" s="309"/>
      <c r="CG45" s="309"/>
      <c r="CH45" s="309"/>
    </row>
    <row r="46" spans="1:93" ht="45" customHeight="1">
      <c r="A46" s="471" t="s">
        <v>12</v>
      </c>
      <c r="B46" s="715">
        <v>0.75</v>
      </c>
      <c r="C46" s="715">
        <v>5.5</v>
      </c>
      <c r="D46" s="715">
        <v>0.3</v>
      </c>
      <c r="E46" s="715">
        <v>5.2</v>
      </c>
      <c r="F46" s="715">
        <v>260</v>
      </c>
      <c r="G46" s="716"/>
      <c r="H46" s="236"/>
      <c r="I46" s="605" t="s">
        <v>2068</v>
      </c>
      <c r="J46" s="605" t="s">
        <v>2069</v>
      </c>
      <c r="K46" s="521"/>
      <c r="L46" s="521"/>
      <c r="M46" s="521"/>
      <c r="O46"/>
      <c r="Q46" s="17"/>
      <c r="R46" s="267" t="s">
        <v>128</v>
      </c>
      <c r="S46" s="22" t="s">
        <v>87</v>
      </c>
      <c r="T46" s="22" t="s">
        <v>841</v>
      </c>
      <c r="U46" s="244">
        <v>0.11</v>
      </c>
      <c r="V46" s="22" t="s">
        <v>233</v>
      </c>
      <c r="W46" s="23" t="s">
        <v>317</v>
      </c>
      <c r="X46" s="24" t="s">
        <v>318</v>
      </c>
      <c r="Y46" s="268" t="s">
        <v>319</v>
      </c>
      <c r="Z46" s="19"/>
      <c r="AA46" s="19"/>
      <c r="AB46" s="19"/>
      <c r="AC46" s="19"/>
      <c r="AD46" s="19"/>
      <c r="AE46" s="19"/>
      <c r="AF46" s="264" t="s">
        <v>1235</v>
      </c>
      <c r="AG46" s="722" t="s">
        <v>1236</v>
      </c>
      <c r="AH46" s="9" t="s">
        <v>74</v>
      </c>
      <c r="AI46" s="3"/>
      <c r="AJ46" s="3"/>
      <c r="AK46" s="3"/>
      <c r="AL46" s="4">
        <v>23.888888888888889</v>
      </c>
      <c r="AM46" s="4">
        <v>25.555555555555557</v>
      </c>
      <c r="AN46" s="9" t="s">
        <v>1188</v>
      </c>
      <c r="AO46" s="256"/>
      <c r="AP46" s="256" t="s">
        <v>1557</v>
      </c>
      <c r="AQ46" s="9"/>
      <c r="AR46" s="9"/>
      <c r="AS46" s="9"/>
      <c r="AT46" s="9"/>
      <c r="AU46" s="309"/>
      <c r="BC46" s="309"/>
      <c r="BD46" s="331" t="s">
        <v>955</v>
      </c>
      <c r="BE46" s="339"/>
      <c r="BF46" s="339"/>
      <c r="BG46" s="340" t="e">
        <f t="shared" si="8"/>
        <v>#DIV/0!</v>
      </c>
      <c r="BH46" s="339"/>
      <c r="BI46" s="339"/>
      <c r="BJ46" s="340" t="e">
        <f t="shared" si="3"/>
        <v>#DIV/0!</v>
      </c>
      <c r="BK46" s="339"/>
      <c r="BL46" s="339"/>
      <c r="BM46" s="340" t="e">
        <f t="shared" si="4"/>
        <v>#DIV/0!</v>
      </c>
      <c r="BN46" s="339"/>
      <c r="BO46" s="339"/>
      <c r="BP46" s="340" t="e">
        <f t="shared" si="5"/>
        <v>#DIV/0!</v>
      </c>
      <c r="BQ46" s="339"/>
      <c r="BR46" s="339"/>
      <c r="BS46" s="340" t="e">
        <f t="shared" si="6"/>
        <v>#DIV/0!</v>
      </c>
      <c r="BT46" s="339"/>
      <c r="BU46" s="339"/>
      <c r="BV46" s="340" t="e">
        <f t="shared" si="7"/>
        <v>#DIV/0!</v>
      </c>
      <c r="BW46" s="1165"/>
      <c r="BX46" s="1166"/>
      <c r="BY46" s="342" t="str">
        <f t="shared" si="9"/>
        <v>NA</v>
      </c>
      <c r="BZ46" s="341" t="e">
        <f t="shared" si="10"/>
        <v>#DIV/0!</v>
      </c>
      <c r="CA46" s="341" t="e">
        <f t="shared" si="11"/>
        <v>#DIV/0!</v>
      </c>
      <c r="CB46" s="335"/>
      <c r="CC46" s="336"/>
      <c r="CD46" s="336"/>
      <c r="CE46" s="309"/>
      <c r="CH46" s="309"/>
    </row>
    <row r="47" spans="1:93" ht="45" customHeight="1">
      <c r="A47" s="471" t="s">
        <v>34</v>
      </c>
      <c r="B47" s="715">
        <v>0.7</v>
      </c>
      <c r="C47" s="715">
        <v>20</v>
      </c>
      <c r="D47" s="715">
        <v>0.3</v>
      </c>
      <c r="E47" s="715">
        <v>5.18</v>
      </c>
      <c r="F47" s="715">
        <v>260</v>
      </c>
      <c r="G47" s="716" t="s">
        <v>2446</v>
      </c>
      <c r="H47" s="236"/>
      <c r="I47" s="606">
        <v>2</v>
      </c>
      <c r="J47" s="606">
        <v>5</v>
      </c>
      <c r="K47" s="1204" t="s">
        <v>2071</v>
      </c>
      <c r="L47" s="521"/>
      <c r="M47" s="521"/>
      <c r="O47"/>
      <c r="Q47" s="17"/>
      <c r="R47" s="267" t="s">
        <v>129</v>
      </c>
      <c r="S47" s="22" t="s">
        <v>87</v>
      </c>
      <c r="T47" s="22" t="s">
        <v>841</v>
      </c>
      <c r="U47" s="244">
        <v>0.19</v>
      </c>
      <c r="V47" s="22" t="s">
        <v>233</v>
      </c>
      <c r="W47" s="23" t="s">
        <v>320</v>
      </c>
      <c r="X47" s="23" t="s">
        <v>321</v>
      </c>
      <c r="Y47" s="269"/>
      <c r="Z47" s="19"/>
      <c r="AA47" s="19"/>
      <c r="AB47" s="19"/>
      <c r="AC47" s="19"/>
      <c r="AD47" s="19"/>
      <c r="AE47" s="19"/>
      <c r="AF47" s="264" t="s">
        <v>1237</v>
      </c>
      <c r="AG47" s="722" t="s">
        <v>1205</v>
      </c>
      <c r="AH47" s="9" t="s">
        <v>74</v>
      </c>
      <c r="AI47" s="3">
        <v>0.74</v>
      </c>
      <c r="AJ47" s="3">
        <v>0.8</v>
      </c>
      <c r="AK47" s="3">
        <v>0.77</v>
      </c>
      <c r="AL47" s="4">
        <v>18.888888888888889</v>
      </c>
      <c r="AM47" s="4">
        <v>22.222222222222221</v>
      </c>
      <c r="AN47" s="9" t="s">
        <v>1188</v>
      </c>
      <c r="AO47" s="256"/>
      <c r="AP47" s="256" t="s">
        <v>1558</v>
      </c>
      <c r="AQ47" s="9"/>
      <c r="AR47" s="9"/>
      <c r="AS47" s="9"/>
      <c r="AT47" s="9"/>
      <c r="AU47" s="309"/>
      <c r="BC47" s="309"/>
      <c r="BD47" s="326" t="s">
        <v>956</v>
      </c>
      <c r="BE47" s="339"/>
      <c r="BF47" s="339"/>
      <c r="BG47" s="340" t="e">
        <f t="shared" si="8"/>
        <v>#DIV/0!</v>
      </c>
      <c r="BH47" s="339"/>
      <c r="BI47" s="339"/>
      <c r="BJ47" s="340" t="e">
        <f t="shared" si="3"/>
        <v>#DIV/0!</v>
      </c>
      <c r="BK47" s="339"/>
      <c r="BL47" s="339"/>
      <c r="BM47" s="340" t="e">
        <f t="shared" si="4"/>
        <v>#DIV/0!</v>
      </c>
      <c r="BN47" s="339"/>
      <c r="BO47" s="339"/>
      <c r="BP47" s="340" t="e">
        <f t="shared" si="5"/>
        <v>#DIV/0!</v>
      </c>
      <c r="BQ47" s="339"/>
      <c r="BR47" s="339"/>
      <c r="BS47" s="340" t="e">
        <f t="shared" si="6"/>
        <v>#DIV/0!</v>
      </c>
      <c r="BT47" s="339"/>
      <c r="BU47" s="339"/>
      <c r="BV47" s="340" t="e">
        <f t="shared" si="7"/>
        <v>#DIV/0!</v>
      </c>
      <c r="BW47" s="1165"/>
      <c r="BX47" s="1166"/>
      <c r="BY47" s="342" t="str">
        <f t="shared" si="9"/>
        <v>NA</v>
      </c>
      <c r="BZ47" s="341" t="e">
        <f t="shared" si="10"/>
        <v>#DIV/0!</v>
      </c>
      <c r="CA47" s="341" t="e">
        <f t="shared" si="11"/>
        <v>#DIV/0!</v>
      </c>
      <c r="CB47" s="335"/>
      <c r="CC47" s="336"/>
      <c r="CD47" s="336"/>
      <c r="CE47" s="309"/>
      <c r="CH47" s="309"/>
    </row>
    <row r="48" spans="1:93" ht="45" customHeight="1">
      <c r="A48" s="1" t="s">
        <v>2591</v>
      </c>
      <c r="B48" s="715">
        <v>0.7</v>
      </c>
      <c r="C48" s="715">
        <v>5</v>
      </c>
      <c r="D48" s="715">
        <v>0.4</v>
      </c>
      <c r="E48" s="715">
        <v>5.2</v>
      </c>
      <c r="F48" s="715">
        <v>260</v>
      </c>
      <c r="G48" s="716" t="s">
        <v>2445</v>
      </c>
      <c r="H48" s="236"/>
      <c r="I48" s="606">
        <v>2.2000000000000002</v>
      </c>
      <c r="J48" s="606">
        <v>6</v>
      </c>
      <c r="K48" s="1204"/>
      <c r="L48" s="1204" t="s">
        <v>2070</v>
      </c>
      <c r="M48" s="521"/>
      <c r="Q48" s="17"/>
      <c r="R48" s="267" t="s">
        <v>130</v>
      </c>
      <c r="S48" s="22" t="s">
        <v>87</v>
      </c>
      <c r="T48" s="22" t="s">
        <v>841</v>
      </c>
      <c r="U48" s="244">
        <v>0.12</v>
      </c>
      <c r="V48" s="22" t="s">
        <v>131</v>
      </c>
      <c r="W48" s="23" t="s">
        <v>322</v>
      </c>
      <c r="X48" s="23" t="s">
        <v>323</v>
      </c>
      <c r="Y48" s="268" t="s">
        <v>324</v>
      </c>
      <c r="Z48" s="19"/>
      <c r="AA48" s="19"/>
      <c r="AB48" s="19"/>
      <c r="AC48" s="19"/>
      <c r="AD48" s="19"/>
      <c r="AE48" s="19"/>
      <c r="AF48" s="264" t="s">
        <v>1238</v>
      </c>
      <c r="AG48" s="722" t="s">
        <v>1213</v>
      </c>
      <c r="AH48" s="9" t="s">
        <v>74</v>
      </c>
      <c r="AI48" s="3">
        <v>0.73</v>
      </c>
      <c r="AJ48" s="3">
        <v>0.77</v>
      </c>
      <c r="AK48" s="3">
        <v>0.75</v>
      </c>
      <c r="AL48" s="4">
        <v>7.7777777777777777</v>
      </c>
      <c r="AM48" s="4">
        <v>14.444444444444445</v>
      </c>
      <c r="AN48" s="9" t="s">
        <v>1188</v>
      </c>
      <c r="AO48" s="256"/>
      <c r="AP48" s="256" t="s">
        <v>1559</v>
      </c>
      <c r="AQ48" s="9"/>
      <c r="AR48" s="9"/>
      <c r="AS48" s="9"/>
      <c r="AT48" s="9"/>
      <c r="AU48" s="309"/>
      <c r="BC48" s="309"/>
      <c r="BD48" s="331" t="s">
        <v>957</v>
      </c>
      <c r="BE48" s="339"/>
      <c r="BF48" s="339"/>
      <c r="BG48" s="340" t="e">
        <f t="shared" si="8"/>
        <v>#DIV/0!</v>
      </c>
      <c r="BH48" s="339"/>
      <c r="BI48" s="339"/>
      <c r="BJ48" s="340" t="e">
        <f t="shared" si="3"/>
        <v>#DIV/0!</v>
      </c>
      <c r="BK48" s="339"/>
      <c r="BL48" s="339"/>
      <c r="BM48" s="340" t="e">
        <f t="shared" si="4"/>
        <v>#DIV/0!</v>
      </c>
      <c r="BN48" s="339"/>
      <c r="BO48" s="339"/>
      <c r="BP48" s="340" t="e">
        <f t="shared" si="5"/>
        <v>#DIV/0!</v>
      </c>
      <c r="BQ48" s="339"/>
      <c r="BR48" s="339"/>
      <c r="BS48" s="340" t="e">
        <f t="shared" si="6"/>
        <v>#DIV/0!</v>
      </c>
      <c r="BT48" s="339"/>
      <c r="BU48" s="339"/>
      <c r="BV48" s="340" t="e">
        <f t="shared" si="7"/>
        <v>#DIV/0!</v>
      </c>
      <c r="BW48" s="1165"/>
      <c r="BX48" s="1166"/>
      <c r="BY48" s="342" t="str">
        <f t="shared" si="9"/>
        <v>NA</v>
      </c>
      <c r="BZ48" s="341" t="e">
        <f t="shared" si="10"/>
        <v>#DIV/0!</v>
      </c>
      <c r="CA48" s="341" t="e">
        <f t="shared" si="11"/>
        <v>#DIV/0!</v>
      </c>
      <c r="CB48" s="335"/>
      <c r="CC48" s="336"/>
      <c r="CD48" s="336"/>
      <c r="CE48" s="309"/>
      <c r="CH48" s="309"/>
    </row>
    <row r="49" spans="1:86" ht="45" customHeight="1">
      <c r="A49" s="706" t="s">
        <v>2547</v>
      </c>
      <c r="B49" s="707"/>
      <c r="C49" s="707"/>
      <c r="D49" s="707"/>
      <c r="E49" s="733" t="s">
        <v>2530</v>
      </c>
      <c r="F49" s="733"/>
      <c r="G49" s="733"/>
      <c r="H49" s="236"/>
      <c r="I49" s="606">
        <v>2.5</v>
      </c>
      <c r="J49" s="606">
        <v>7</v>
      </c>
      <c r="K49" s="1204"/>
      <c r="L49" s="1204"/>
      <c r="M49" s="1205" t="s">
        <v>2072</v>
      </c>
      <c r="Q49" s="17"/>
      <c r="R49" s="267" t="s">
        <v>132</v>
      </c>
      <c r="S49" s="22" t="s">
        <v>87</v>
      </c>
      <c r="T49" s="22" t="s">
        <v>841</v>
      </c>
      <c r="U49" s="244">
        <v>0.1</v>
      </c>
      <c r="V49" s="22" t="s">
        <v>131</v>
      </c>
      <c r="W49" s="23" t="s">
        <v>325</v>
      </c>
      <c r="X49" s="23" t="s">
        <v>326</v>
      </c>
      <c r="Y49" s="268" t="s">
        <v>327</v>
      </c>
      <c r="Z49" s="19"/>
      <c r="AA49" s="19"/>
      <c r="AB49" s="19"/>
      <c r="AC49" s="19"/>
      <c r="AD49" s="19"/>
      <c r="AE49" s="19"/>
      <c r="AF49" s="264" t="s">
        <v>1239</v>
      </c>
      <c r="AG49" s="722" t="s">
        <v>1205</v>
      </c>
      <c r="AH49" s="9" t="s">
        <v>74</v>
      </c>
      <c r="AI49" s="3">
        <v>0.73</v>
      </c>
      <c r="AJ49" s="3">
        <v>0.77</v>
      </c>
      <c r="AK49" s="3">
        <v>0.75</v>
      </c>
      <c r="AL49" s="4">
        <v>18.888888888888889</v>
      </c>
      <c r="AM49" s="4">
        <v>21.111111111111111</v>
      </c>
      <c r="AN49" s="9" t="s">
        <v>1198</v>
      </c>
      <c r="AO49" s="256"/>
      <c r="AP49" s="256" t="s">
        <v>1560</v>
      </c>
      <c r="AQ49" s="9"/>
      <c r="AR49" s="9"/>
      <c r="AS49" s="9"/>
      <c r="AT49" s="9"/>
      <c r="AU49" s="309"/>
      <c r="BC49" s="309"/>
      <c r="BD49" s="331" t="s">
        <v>958</v>
      </c>
      <c r="BE49" s="339"/>
      <c r="BF49" s="339"/>
      <c r="BG49" s="340" t="e">
        <f t="shared" si="8"/>
        <v>#DIV/0!</v>
      </c>
      <c r="BH49" s="339"/>
      <c r="BI49" s="339"/>
      <c r="BJ49" s="340" t="e">
        <f t="shared" si="3"/>
        <v>#DIV/0!</v>
      </c>
      <c r="BK49" s="339"/>
      <c r="BL49" s="339"/>
      <c r="BM49" s="340" t="e">
        <f t="shared" si="4"/>
        <v>#DIV/0!</v>
      </c>
      <c r="BN49" s="339"/>
      <c r="BO49" s="339"/>
      <c r="BP49" s="340" t="e">
        <f t="shared" si="5"/>
        <v>#DIV/0!</v>
      </c>
      <c r="BQ49" s="339"/>
      <c r="BR49" s="339"/>
      <c r="BS49" s="340" t="e">
        <f t="shared" si="6"/>
        <v>#DIV/0!</v>
      </c>
      <c r="BT49" s="339"/>
      <c r="BU49" s="339"/>
      <c r="BV49" s="340" t="e">
        <f t="shared" si="7"/>
        <v>#DIV/0!</v>
      </c>
      <c r="BW49" s="1165"/>
      <c r="BX49" s="1166"/>
      <c r="BY49" s="342" t="str">
        <f t="shared" si="9"/>
        <v>NA</v>
      </c>
      <c r="BZ49" s="341" t="e">
        <f t="shared" si="10"/>
        <v>#DIV/0!</v>
      </c>
      <c r="CA49" s="341" t="e">
        <f t="shared" si="11"/>
        <v>#DIV/0!</v>
      </c>
      <c r="CB49" s="335"/>
      <c r="CC49" s="336"/>
      <c r="CD49" s="336"/>
      <c r="CE49" s="309"/>
      <c r="CH49" s="309"/>
    </row>
    <row r="50" spans="1:86" ht="45" customHeight="1">
      <c r="A50" s="471" t="s">
        <v>31</v>
      </c>
      <c r="B50" s="715">
        <v>0.74</v>
      </c>
      <c r="C50" s="715">
        <v>35</v>
      </c>
      <c r="D50" s="715">
        <v>0.3</v>
      </c>
      <c r="E50" s="715">
        <v>5.16</v>
      </c>
      <c r="F50" s="715">
        <v>260</v>
      </c>
      <c r="G50" s="716"/>
      <c r="H50" s="236"/>
      <c r="I50" s="606">
        <v>3</v>
      </c>
      <c r="J50" s="606">
        <v>9</v>
      </c>
      <c r="K50" s="521"/>
      <c r="L50" s="1204"/>
      <c r="M50" s="1205"/>
      <c r="Q50" s="17"/>
      <c r="R50" s="267" t="s">
        <v>133</v>
      </c>
      <c r="S50" s="22" t="s">
        <v>87</v>
      </c>
      <c r="T50" s="22" t="s">
        <v>841</v>
      </c>
      <c r="U50" s="244">
        <v>0.08</v>
      </c>
      <c r="V50" s="22" t="s">
        <v>83</v>
      </c>
      <c r="W50" s="23" t="s">
        <v>328</v>
      </c>
      <c r="X50" s="23" t="s">
        <v>329</v>
      </c>
      <c r="Y50" s="269" t="s">
        <v>134</v>
      </c>
      <c r="Z50" s="19"/>
      <c r="AA50" s="19"/>
      <c r="AB50" s="19"/>
      <c r="AC50" s="19"/>
      <c r="AD50" s="19"/>
      <c r="AE50" s="19"/>
      <c r="AF50" s="264" t="s">
        <v>1240</v>
      </c>
      <c r="AG50" s="722" t="s">
        <v>1210</v>
      </c>
      <c r="AH50" s="9" t="s">
        <v>74</v>
      </c>
      <c r="AI50" s="3"/>
      <c r="AJ50" s="3"/>
      <c r="AK50" s="3"/>
      <c r="AL50" s="4">
        <v>10</v>
      </c>
      <c r="AM50" s="4">
        <v>13.888888888888889</v>
      </c>
      <c r="AN50" s="9" t="s">
        <v>1186</v>
      </c>
      <c r="AO50" s="256"/>
      <c r="AP50" s="256" t="s">
        <v>1561</v>
      </c>
      <c r="AQ50" s="9"/>
      <c r="AR50" s="9"/>
      <c r="AS50" s="9"/>
      <c r="AT50" s="9"/>
      <c r="AU50" s="309"/>
      <c r="AV50" s="309"/>
      <c r="AW50" s="309"/>
      <c r="AX50" s="309"/>
      <c r="AY50" s="309"/>
      <c r="AZ50" s="309"/>
      <c r="BA50" s="309"/>
      <c r="BB50" s="309"/>
      <c r="BC50" s="309"/>
      <c r="BD50" s="331" t="s">
        <v>959</v>
      </c>
      <c r="BE50" s="339"/>
      <c r="BF50" s="339"/>
      <c r="BG50" s="340" t="e">
        <f t="shared" si="8"/>
        <v>#DIV/0!</v>
      </c>
      <c r="BH50" s="339"/>
      <c r="BI50" s="339"/>
      <c r="BJ50" s="340" t="e">
        <f t="shared" si="3"/>
        <v>#DIV/0!</v>
      </c>
      <c r="BK50" s="339"/>
      <c r="BL50" s="339"/>
      <c r="BM50" s="340" t="e">
        <f t="shared" si="4"/>
        <v>#DIV/0!</v>
      </c>
      <c r="BN50" s="339"/>
      <c r="BO50" s="339"/>
      <c r="BP50" s="340" t="e">
        <f t="shared" si="5"/>
        <v>#DIV/0!</v>
      </c>
      <c r="BQ50" s="339"/>
      <c r="BR50" s="339"/>
      <c r="BS50" s="340" t="e">
        <f t="shared" si="6"/>
        <v>#DIV/0!</v>
      </c>
      <c r="BT50" s="339"/>
      <c r="BU50" s="339"/>
      <c r="BV50" s="340" t="e">
        <f t="shared" si="7"/>
        <v>#DIV/0!</v>
      </c>
      <c r="BW50" s="1165"/>
      <c r="BX50" s="1166"/>
      <c r="BY50" s="342" t="str">
        <f t="shared" si="9"/>
        <v>NA</v>
      </c>
      <c r="BZ50" s="341" t="e">
        <f t="shared" si="10"/>
        <v>#DIV/0!</v>
      </c>
      <c r="CA50" s="341" t="e">
        <f t="shared" si="11"/>
        <v>#DIV/0!</v>
      </c>
      <c r="CB50" s="335"/>
      <c r="CC50" s="336"/>
      <c r="CD50" s="336"/>
      <c r="CE50" s="309"/>
      <c r="CH50" s="309"/>
    </row>
    <row r="51" spans="1:86" ht="45" customHeight="1">
      <c r="A51" s="471" t="s">
        <v>13</v>
      </c>
      <c r="B51" s="715">
        <v>0.74</v>
      </c>
      <c r="C51" s="715">
        <v>50</v>
      </c>
      <c r="D51" s="715">
        <v>0.25</v>
      </c>
      <c r="E51" s="715">
        <v>5.12</v>
      </c>
      <c r="F51" s="715">
        <v>260</v>
      </c>
      <c r="G51" s="715"/>
      <c r="H51" s="236"/>
      <c r="I51" s="606">
        <v>3.5</v>
      </c>
      <c r="J51" s="606">
        <v>11</v>
      </c>
      <c r="K51" s="521"/>
      <c r="L51" s="521"/>
      <c r="M51" s="1205"/>
      <c r="N51"/>
      <c r="Q51" s="17"/>
      <c r="R51" s="267" t="s">
        <v>135</v>
      </c>
      <c r="S51" s="22" t="s">
        <v>85</v>
      </c>
      <c r="T51" s="22" t="s">
        <v>841</v>
      </c>
      <c r="U51" s="244">
        <v>0.05</v>
      </c>
      <c r="V51" s="22" t="s">
        <v>233</v>
      </c>
      <c r="W51" s="23" t="s">
        <v>330</v>
      </c>
      <c r="X51" s="23" t="s">
        <v>331</v>
      </c>
      <c r="Y51" s="268" t="s">
        <v>332</v>
      </c>
      <c r="Z51" s="19"/>
      <c r="AA51" s="19"/>
      <c r="AB51" s="19"/>
      <c r="AC51" s="19"/>
      <c r="AD51" s="19"/>
      <c r="AE51" s="19"/>
      <c r="AF51" s="264" t="s">
        <v>1241</v>
      </c>
      <c r="AG51" s="722" t="s">
        <v>1213</v>
      </c>
      <c r="AH51" s="9" t="s">
        <v>74</v>
      </c>
      <c r="AI51" s="3">
        <v>0.7</v>
      </c>
      <c r="AJ51" s="3">
        <v>0.76</v>
      </c>
      <c r="AK51" s="3">
        <v>0.73</v>
      </c>
      <c r="AL51" s="4">
        <v>17.777777777777779</v>
      </c>
      <c r="AM51" s="4">
        <v>23.888888888888889</v>
      </c>
      <c r="AN51" s="9" t="s">
        <v>1198</v>
      </c>
      <c r="AO51" s="256"/>
      <c r="AP51" s="256" t="s">
        <v>1562</v>
      </c>
      <c r="AQ51" s="9"/>
      <c r="AR51" s="9"/>
      <c r="AS51" s="9"/>
      <c r="AT51" s="9"/>
      <c r="AU51" s="309"/>
      <c r="AV51" s="309"/>
      <c r="AW51" s="309"/>
      <c r="AX51" s="309"/>
      <c r="AY51" s="309"/>
      <c r="AZ51" s="309"/>
      <c r="BA51" s="309"/>
      <c r="BB51" s="309"/>
      <c r="BC51" s="309"/>
      <c r="BD51" s="331" t="s">
        <v>960</v>
      </c>
      <c r="BE51" s="339"/>
      <c r="BF51" s="339"/>
      <c r="BG51" s="340" t="e">
        <f t="shared" si="8"/>
        <v>#DIV/0!</v>
      </c>
      <c r="BH51" s="339"/>
      <c r="BI51" s="339"/>
      <c r="BJ51" s="340" t="e">
        <f t="shared" si="3"/>
        <v>#DIV/0!</v>
      </c>
      <c r="BK51" s="339"/>
      <c r="BL51" s="339"/>
      <c r="BM51" s="340" t="e">
        <f t="shared" si="4"/>
        <v>#DIV/0!</v>
      </c>
      <c r="BN51" s="339"/>
      <c r="BO51" s="339"/>
      <c r="BP51" s="340" t="e">
        <f t="shared" si="5"/>
        <v>#DIV/0!</v>
      </c>
      <c r="BQ51" s="339"/>
      <c r="BR51" s="339"/>
      <c r="BS51" s="340" t="e">
        <f t="shared" si="6"/>
        <v>#DIV/0!</v>
      </c>
      <c r="BT51" s="339"/>
      <c r="BU51" s="339"/>
      <c r="BV51" s="340" t="e">
        <f t="shared" si="7"/>
        <v>#DIV/0!</v>
      </c>
      <c r="BW51" s="1165"/>
      <c r="BX51" s="1166"/>
      <c r="BY51" s="342" t="str">
        <f t="shared" si="9"/>
        <v>NA</v>
      </c>
      <c r="BZ51" s="341" t="e">
        <f t="shared" si="10"/>
        <v>#DIV/0!</v>
      </c>
      <c r="CA51" s="341" t="e">
        <f t="shared" si="11"/>
        <v>#DIV/0!</v>
      </c>
      <c r="CB51" s="335"/>
      <c r="CC51" s="336"/>
      <c r="CD51" s="336"/>
      <c r="CE51" s="309"/>
      <c r="CH51" s="309"/>
    </row>
    <row r="52" spans="1:86" ht="45" customHeight="1">
      <c r="A52" s="471" t="s">
        <v>2586</v>
      </c>
      <c r="B52" s="715">
        <v>0.74</v>
      </c>
      <c r="C52" s="715">
        <v>70</v>
      </c>
      <c r="D52" s="715">
        <v>0.2</v>
      </c>
      <c r="E52" s="715">
        <v>5.3</v>
      </c>
      <c r="F52" s="715">
        <v>260</v>
      </c>
      <c r="G52" s="715"/>
      <c r="H52" s="236"/>
      <c r="N52"/>
      <c r="Q52" s="17"/>
      <c r="R52" s="267" t="s">
        <v>333</v>
      </c>
      <c r="S52" s="22" t="s">
        <v>85</v>
      </c>
      <c r="T52" s="22" t="s">
        <v>841</v>
      </c>
      <c r="U52" s="244">
        <v>0.04</v>
      </c>
      <c r="V52" s="22" t="s">
        <v>83</v>
      </c>
      <c r="W52" s="23" t="s">
        <v>334</v>
      </c>
      <c r="X52" s="23" t="s">
        <v>335</v>
      </c>
      <c r="Y52" s="268" t="s">
        <v>336</v>
      </c>
      <c r="Z52" s="19"/>
      <c r="AA52" s="19"/>
      <c r="AB52" s="19"/>
      <c r="AC52" s="19"/>
      <c r="AD52" s="19"/>
      <c r="AE52" s="19"/>
      <c r="AF52" s="264" t="s">
        <v>1242</v>
      </c>
      <c r="AG52" s="722" t="s">
        <v>1213</v>
      </c>
      <c r="AH52" s="9" t="s">
        <v>74</v>
      </c>
      <c r="AI52" s="3">
        <v>0.73</v>
      </c>
      <c r="AJ52" s="3">
        <v>0.77</v>
      </c>
      <c r="AK52" s="3">
        <v>0.75</v>
      </c>
      <c r="AL52" s="4">
        <v>17.777777777777779</v>
      </c>
      <c r="AM52" s="4">
        <v>23.333333333333332</v>
      </c>
      <c r="AN52" s="9" t="s">
        <v>1188</v>
      </c>
      <c r="AO52" s="256"/>
      <c r="AP52" s="256" t="s">
        <v>1563</v>
      </c>
      <c r="AQ52" s="9"/>
      <c r="AR52" s="9"/>
      <c r="AS52" s="9"/>
      <c r="AT52" s="9"/>
      <c r="AU52" s="309"/>
      <c r="AV52" s="309"/>
      <c r="AW52" s="309"/>
      <c r="AX52" s="309"/>
      <c r="AY52" s="309"/>
      <c r="AZ52" s="309"/>
      <c r="BA52" s="309"/>
      <c r="BB52" s="309"/>
      <c r="BC52" s="309"/>
      <c r="BD52" s="331" t="s">
        <v>961</v>
      </c>
      <c r="BE52" s="339"/>
      <c r="BF52" s="339"/>
      <c r="BG52" s="340" t="e">
        <f t="shared" si="8"/>
        <v>#DIV/0!</v>
      </c>
      <c r="BH52" s="339"/>
      <c r="BI52" s="339"/>
      <c r="BJ52" s="340" t="e">
        <f t="shared" si="3"/>
        <v>#DIV/0!</v>
      </c>
      <c r="BK52" s="339"/>
      <c r="BL52" s="339"/>
      <c r="BM52" s="340" t="e">
        <f t="shared" si="4"/>
        <v>#DIV/0!</v>
      </c>
      <c r="BN52" s="339"/>
      <c r="BO52" s="339"/>
      <c r="BP52" s="340" t="e">
        <f t="shared" si="5"/>
        <v>#DIV/0!</v>
      </c>
      <c r="BQ52" s="339"/>
      <c r="BR52" s="339"/>
      <c r="BS52" s="340" t="e">
        <f t="shared" si="6"/>
        <v>#DIV/0!</v>
      </c>
      <c r="BT52" s="339"/>
      <c r="BU52" s="339"/>
      <c r="BV52" s="340" t="e">
        <f t="shared" si="7"/>
        <v>#DIV/0!</v>
      </c>
      <c r="BW52" s="1165"/>
      <c r="BX52" s="1166"/>
      <c r="BY52" s="342" t="str">
        <f t="shared" si="9"/>
        <v>NA</v>
      </c>
      <c r="BZ52" s="341" t="e">
        <f t="shared" si="10"/>
        <v>#DIV/0!</v>
      </c>
      <c r="CA52" s="341" t="e">
        <f t="shared" si="11"/>
        <v>#DIV/0!</v>
      </c>
      <c r="CB52" s="335"/>
      <c r="CC52" s="336"/>
      <c r="CD52" s="336"/>
      <c r="CE52" s="309"/>
      <c r="CH52" s="309"/>
    </row>
    <row r="53" spans="1:86" ht="45" customHeight="1">
      <c r="A53" s="471" t="s">
        <v>33</v>
      </c>
      <c r="B53" s="715">
        <v>0.74</v>
      </c>
      <c r="C53" s="715">
        <v>120</v>
      </c>
      <c r="D53" s="715">
        <v>0.2</v>
      </c>
      <c r="E53" s="715">
        <v>4.99</v>
      </c>
      <c r="F53" s="715">
        <v>260</v>
      </c>
      <c r="G53" s="716"/>
      <c r="H53" s="236"/>
      <c r="I53" s="19" t="s">
        <v>2055</v>
      </c>
      <c r="J53" s="496">
        <v>3</v>
      </c>
      <c r="K53" s="512" t="s">
        <v>2025</v>
      </c>
      <c r="L53" s="495" t="s">
        <v>2026</v>
      </c>
      <c r="N53" s="511" t="s">
        <v>2067</v>
      </c>
      <c r="Q53" s="17"/>
      <c r="R53" s="267" t="s">
        <v>136</v>
      </c>
      <c r="S53" s="22" t="s">
        <v>87</v>
      </c>
      <c r="T53" s="22" t="s">
        <v>841</v>
      </c>
      <c r="U53" s="244">
        <v>0.14000000000000001</v>
      </c>
      <c r="V53" s="22" t="s">
        <v>126</v>
      </c>
      <c r="W53" s="23" t="s">
        <v>337</v>
      </c>
      <c r="X53" s="23" t="s">
        <v>338</v>
      </c>
      <c r="Y53" s="268" t="s">
        <v>339</v>
      </c>
      <c r="Z53" s="19"/>
      <c r="AA53" s="19"/>
      <c r="AB53" s="19"/>
      <c r="AC53" s="19"/>
      <c r="AD53" s="19"/>
      <c r="AE53" s="19"/>
      <c r="AF53" s="264" t="s">
        <v>1243</v>
      </c>
      <c r="AG53" s="722" t="s">
        <v>1244</v>
      </c>
      <c r="AH53" s="9" t="s">
        <v>72</v>
      </c>
      <c r="AI53" s="3"/>
      <c r="AJ53" s="3"/>
      <c r="AK53" s="3"/>
      <c r="AL53" s="4">
        <v>15</v>
      </c>
      <c r="AM53" s="4">
        <v>30</v>
      </c>
      <c r="AN53" s="9" t="s">
        <v>1198</v>
      </c>
      <c r="AO53" s="256"/>
      <c r="AP53" s="256" t="s">
        <v>1564</v>
      </c>
      <c r="AQ53" s="9"/>
      <c r="AR53" s="9"/>
      <c r="AS53" s="9"/>
      <c r="AT53" s="9"/>
      <c r="AU53" s="309"/>
      <c r="AV53" s="309"/>
      <c r="AW53" s="309"/>
      <c r="AX53" s="309"/>
      <c r="AY53" s="309"/>
      <c r="AZ53" s="309"/>
      <c r="BA53" s="309"/>
      <c r="BB53" s="309"/>
      <c r="BC53" s="309"/>
      <c r="BD53" s="331" t="s">
        <v>962</v>
      </c>
      <c r="BE53" s="339"/>
      <c r="BF53" s="339"/>
      <c r="BG53" s="340" t="e">
        <f t="shared" si="8"/>
        <v>#DIV/0!</v>
      </c>
      <c r="BH53" s="339"/>
      <c r="BI53" s="339"/>
      <c r="BJ53" s="340" t="e">
        <f t="shared" si="3"/>
        <v>#DIV/0!</v>
      </c>
      <c r="BK53" s="339"/>
      <c r="BL53" s="339"/>
      <c r="BM53" s="340" t="e">
        <f t="shared" si="4"/>
        <v>#DIV/0!</v>
      </c>
      <c r="BN53" s="339"/>
      <c r="BO53" s="339"/>
      <c r="BP53" s="340" t="e">
        <f t="shared" si="5"/>
        <v>#DIV/0!</v>
      </c>
      <c r="BQ53" s="339"/>
      <c r="BR53" s="339"/>
      <c r="BS53" s="340" t="e">
        <f t="shared" si="6"/>
        <v>#DIV/0!</v>
      </c>
      <c r="BT53" s="339"/>
      <c r="BU53" s="339"/>
      <c r="BV53" s="340" t="e">
        <f t="shared" si="7"/>
        <v>#DIV/0!</v>
      </c>
      <c r="BW53" s="1165"/>
      <c r="BX53" s="1166"/>
      <c r="BY53" s="342" t="str">
        <f t="shared" si="9"/>
        <v>NA</v>
      </c>
      <c r="BZ53" s="341" t="e">
        <f t="shared" si="10"/>
        <v>#DIV/0!</v>
      </c>
      <c r="CA53" s="341" t="e">
        <f t="shared" si="11"/>
        <v>#DIV/0!</v>
      </c>
      <c r="CB53" s="335"/>
      <c r="CC53" s="336"/>
      <c r="CD53" s="336"/>
      <c r="CE53" s="309"/>
      <c r="CH53" s="309"/>
    </row>
    <row r="54" spans="1:86" ht="45" customHeight="1">
      <c r="A54" s="471" t="s">
        <v>36</v>
      </c>
      <c r="B54" s="715">
        <v>0.74</v>
      </c>
      <c r="C54" s="715">
        <v>150</v>
      </c>
      <c r="D54" s="715">
        <v>0.2</v>
      </c>
      <c r="E54" s="715">
        <v>4.93</v>
      </c>
      <c r="F54" s="715">
        <v>260</v>
      </c>
      <c r="G54" s="716" t="s">
        <v>2448</v>
      </c>
      <c r="H54" s="236"/>
      <c r="I54" s="19" t="s">
        <v>2057</v>
      </c>
      <c r="J54" s="497">
        <v>6</v>
      </c>
      <c r="K54" s="514" t="s">
        <v>2027</v>
      </c>
      <c r="L54" s="495" t="s">
        <v>2028</v>
      </c>
      <c r="N54" s="511" t="s">
        <v>2063</v>
      </c>
      <c r="Q54" s="17"/>
      <c r="R54" s="267" t="s">
        <v>118</v>
      </c>
      <c r="S54" s="22" t="s">
        <v>87</v>
      </c>
      <c r="T54" s="22" t="s">
        <v>841</v>
      </c>
      <c r="U54" s="244">
        <v>0.13</v>
      </c>
      <c r="V54" s="22" t="s">
        <v>233</v>
      </c>
      <c r="W54" s="23" t="s">
        <v>340</v>
      </c>
      <c r="X54" s="23" t="s">
        <v>341</v>
      </c>
      <c r="Y54" s="268" t="s">
        <v>342</v>
      </c>
      <c r="Z54" s="19"/>
      <c r="AA54" s="19"/>
      <c r="AB54" s="19"/>
      <c r="AC54" s="19"/>
      <c r="AD54" s="19"/>
      <c r="AE54" s="19"/>
      <c r="AF54" s="264" t="s">
        <v>1245</v>
      </c>
      <c r="AG54" s="722" t="s">
        <v>1208</v>
      </c>
      <c r="AH54" s="9" t="s">
        <v>74</v>
      </c>
      <c r="AI54" s="3">
        <v>0.72</v>
      </c>
      <c r="AJ54" s="3">
        <v>0.76</v>
      </c>
      <c r="AK54" s="3">
        <v>0.74</v>
      </c>
      <c r="AL54" s="4">
        <v>10.555555555555555</v>
      </c>
      <c r="AM54" s="4">
        <v>16.666666666666668</v>
      </c>
      <c r="AN54" s="9" t="s">
        <v>1188</v>
      </c>
      <c r="AO54" s="256"/>
      <c r="AP54" s="256" t="s">
        <v>1565</v>
      </c>
      <c r="AQ54" s="9"/>
      <c r="AR54" s="9"/>
      <c r="AS54" s="9"/>
      <c r="AT54" s="9"/>
      <c r="AU54" s="309"/>
      <c r="AV54" s="309"/>
      <c r="AW54" s="309"/>
      <c r="AX54" s="309"/>
      <c r="AY54" s="309"/>
      <c r="AZ54" s="309"/>
      <c r="BA54" s="309"/>
      <c r="BB54" s="309"/>
      <c r="BC54" s="309"/>
      <c r="BD54" s="331" t="s">
        <v>963</v>
      </c>
      <c r="BE54" s="339"/>
      <c r="BF54" s="339"/>
      <c r="BG54" s="340" t="e">
        <f t="shared" si="8"/>
        <v>#DIV/0!</v>
      </c>
      <c r="BH54" s="339"/>
      <c r="BI54" s="339"/>
      <c r="BJ54" s="340" t="e">
        <f t="shared" si="3"/>
        <v>#DIV/0!</v>
      </c>
      <c r="BK54" s="339"/>
      <c r="BL54" s="339"/>
      <c r="BM54" s="340" t="e">
        <f t="shared" si="4"/>
        <v>#DIV/0!</v>
      </c>
      <c r="BN54" s="339"/>
      <c r="BO54" s="339"/>
      <c r="BP54" s="340" t="e">
        <f t="shared" si="5"/>
        <v>#DIV/0!</v>
      </c>
      <c r="BQ54" s="339"/>
      <c r="BR54" s="339"/>
      <c r="BS54" s="340" t="e">
        <f t="shared" si="6"/>
        <v>#DIV/0!</v>
      </c>
      <c r="BT54" s="339"/>
      <c r="BU54" s="339"/>
      <c r="BV54" s="340" t="e">
        <f t="shared" si="7"/>
        <v>#DIV/0!</v>
      </c>
      <c r="BW54" s="1165"/>
      <c r="BX54" s="1166"/>
      <c r="BY54" s="342" t="str">
        <f t="shared" si="9"/>
        <v>NA</v>
      </c>
      <c r="BZ54" s="341" t="e">
        <f t="shared" si="10"/>
        <v>#DIV/0!</v>
      </c>
      <c r="CA54" s="341" t="e">
        <f t="shared" si="11"/>
        <v>#DIV/0!</v>
      </c>
      <c r="CB54" s="335"/>
      <c r="CC54" s="336"/>
      <c r="CD54" s="336"/>
      <c r="CE54" s="309"/>
      <c r="CH54" s="309"/>
    </row>
    <row r="55" spans="1:86" ht="45" customHeight="1">
      <c r="A55" s="471" t="s">
        <v>41</v>
      </c>
      <c r="B55" s="715">
        <v>0.74</v>
      </c>
      <c r="C55" s="715">
        <v>150</v>
      </c>
      <c r="D55" s="715">
        <v>0.2</v>
      </c>
      <c r="E55" s="715">
        <v>4.93</v>
      </c>
      <c r="F55" s="715">
        <v>260</v>
      </c>
      <c r="G55" s="716" t="s">
        <v>2447</v>
      </c>
      <c r="H55" s="236"/>
      <c r="I55" s="19"/>
      <c r="J55" s="498">
        <v>9</v>
      </c>
      <c r="K55" s="515" t="s">
        <v>2029</v>
      </c>
      <c r="L55" s="495" t="s">
        <v>2030</v>
      </c>
      <c r="N55" s="511" t="s">
        <v>2064</v>
      </c>
      <c r="Q55" s="17"/>
      <c r="R55" s="267" t="s">
        <v>137</v>
      </c>
      <c r="S55" s="22" t="s">
        <v>87</v>
      </c>
      <c r="T55" s="22" t="s">
        <v>841</v>
      </c>
      <c r="U55" s="244">
        <v>0.06</v>
      </c>
      <c r="V55" s="22" t="s">
        <v>233</v>
      </c>
      <c r="W55" s="23" t="s">
        <v>343</v>
      </c>
      <c r="X55" s="23" t="s">
        <v>344</v>
      </c>
      <c r="Y55" s="268" t="s">
        <v>258</v>
      </c>
      <c r="Z55" s="19"/>
      <c r="AA55" s="19"/>
      <c r="AB55" s="19"/>
      <c r="AC55" s="19"/>
      <c r="AD55" s="19"/>
      <c r="AE55" s="19"/>
      <c r="AF55" s="264" t="s">
        <v>1246</v>
      </c>
      <c r="AG55" s="722" t="s">
        <v>1205</v>
      </c>
      <c r="AH55" s="9" t="s">
        <v>74</v>
      </c>
      <c r="AI55" s="3">
        <v>0.72</v>
      </c>
      <c r="AJ55" s="3">
        <v>0.8</v>
      </c>
      <c r="AK55" s="3">
        <v>0.75</v>
      </c>
      <c r="AL55" s="4">
        <v>18.333333333333332</v>
      </c>
      <c r="AM55" s="4">
        <v>21.111111111111111</v>
      </c>
      <c r="AN55" s="9" t="s">
        <v>1186</v>
      </c>
      <c r="AO55" s="256"/>
      <c r="AP55" s="256" t="s">
        <v>1566</v>
      </c>
      <c r="AQ55" s="9"/>
      <c r="AR55" s="9"/>
      <c r="AS55" s="9"/>
      <c r="AT55" s="9"/>
      <c r="AU55" s="309"/>
      <c r="AV55" s="309"/>
      <c r="AW55" s="309"/>
      <c r="AX55" s="309"/>
      <c r="AY55" s="309"/>
      <c r="AZ55" s="309"/>
      <c r="BA55" s="309"/>
      <c r="BB55" s="309"/>
      <c r="BC55" s="309"/>
      <c r="BD55" s="326" t="s">
        <v>964</v>
      </c>
      <c r="BE55" s="339"/>
      <c r="BF55" s="339"/>
      <c r="BG55" s="340" t="e">
        <f t="shared" si="8"/>
        <v>#DIV/0!</v>
      </c>
      <c r="BH55" s="339"/>
      <c r="BI55" s="339"/>
      <c r="BJ55" s="340" t="e">
        <f t="shared" si="3"/>
        <v>#DIV/0!</v>
      </c>
      <c r="BK55" s="339"/>
      <c r="BL55" s="339"/>
      <c r="BM55" s="340" t="e">
        <f t="shared" si="4"/>
        <v>#DIV/0!</v>
      </c>
      <c r="BN55" s="339"/>
      <c r="BO55" s="339"/>
      <c r="BP55" s="340" t="e">
        <f t="shared" si="5"/>
        <v>#DIV/0!</v>
      </c>
      <c r="BQ55" s="339"/>
      <c r="BR55" s="339"/>
      <c r="BS55" s="340" t="e">
        <f t="shared" si="6"/>
        <v>#DIV/0!</v>
      </c>
      <c r="BT55" s="339"/>
      <c r="BU55" s="339"/>
      <c r="BV55" s="340" t="e">
        <f t="shared" si="7"/>
        <v>#DIV/0!</v>
      </c>
      <c r="BW55" s="1165"/>
      <c r="BX55" s="1166"/>
      <c r="BY55" s="342" t="str">
        <f t="shared" si="9"/>
        <v>NA</v>
      </c>
      <c r="BZ55" s="341" t="e">
        <f t="shared" si="10"/>
        <v>#DIV/0!</v>
      </c>
      <c r="CA55" s="341" t="e">
        <f t="shared" si="11"/>
        <v>#DIV/0!</v>
      </c>
      <c r="CB55" s="335"/>
      <c r="CC55" s="336"/>
      <c r="CD55" s="336"/>
      <c r="CE55" s="309"/>
      <c r="CH55" s="309"/>
    </row>
    <row r="56" spans="1:86" ht="45" customHeight="1">
      <c r="A56" s="706" t="s">
        <v>2548</v>
      </c>
      <c r="B56" s="707"/>
      <c r="C56" s="707"/>
      <c r="D56" s="733" t="s">
        <v>2531</v>
      </c>
      <c r="E56" s="733"/>
      <c r="F56" s="733"/>
      <c r="G56" s="733"/>
      <c r="H56" s="236"/>
      <c r="I56" s="19"/>
      <c r="J56" s="499">
        <v>12</v>
      </c>
      <c r="K56" s="516" t="s">
        <v>2031</v>
      </c>
      <c r="L56" s="495" t="s">
        <v>2032</v>
      </c>
      <c r="N56" s="511" t="s">
        <v>2065</v>
      </c>
      <c r="Q56" s="17"/>
      <c r="R56" s="267" t="s">
        <v>138</v>
      </c>
      <c r="S56" s="22" t="s">
        <v>85</v>
      </c>
      <c r="T56" s="22" t="s">
        <v>841</v>
      </c>
      <c r="U56" s="244">
        <v>0.05</v>
      </c>
      <c r="V56" s="22" t="s">
        <v>233</v>
      </c>
      <c r="W56" s="23" t="s">
        <v>345</v>
      </c>
      <c r="X56" s="24" t="s">
        <v>346</v>
      </c>
      <c r="Y56" s="268" t="s">
        <v>347</v>
      </c>
      <c r="Z56" s="19"/>
      <c r="AA56" s="19"/>
      <c r="AB56" s="19"/>
      <c r="AC56" s="19"/>
      <c r="AD56" s="19"/>
      <c r="AE56" s="19"/>
      <c r="AF56" s="264" t="s">
        <v>1247</v>
      </c>
      <c r="AG56" s="722" t="s">
        <v>1236</v>
      </c>
      <c r="AH56" s="9" t="s">
        <v>74</v>
      </c>
      <c r="AI56" s="3"/>
      <c r="AJ56" s="3"/>
      <c r="AK56" s="3">
        <v>0.75</v>
      </c>
      <c r="AL56" s="4">
        <v>18.888888888888889</v>
      </c>
      <c r="AM56" s="4">
        <v>22.222222222222221</v>
      </c>
      <c r="AN56" s="9" t="s">
        <v>1188</v>
      </c>
      <c r="AO56" s="256"/>
      <c r="AP56" s="256" t="s">
        <v>1567</v>
      </c>
      <c r="AQ56" s="9"/>
      <c r="AR56" s="9"/>
      <c r="AS56" s="9"/>
      <c r="AT56" s="9"/>
      <c r="AU56" s="309"/>
      <c r="AV56" s="309"/>
      <c r="AW56" s="309"/>
      <c r="AX56" s="309"/>
      <c r="AY56" s="309"/>
      <c r="AZ56" s="309"/>
      <c r="BA56" s="309"/>
      <c r="BB56" s="309"/>
      <c r="BC56" s="309"/>
      <c r="BD56" s="331" t="s">
        <v>965</v>
      </c>
      <c r="BE56" s="339"/>
      <c r="BF56" s="339"/>
      <c r="BG56" s="340" t="e">
        <f t="shared" si="8"/>
        <v>#DIV/0!</v>
      </c>
      <c r="BH56" s="339"/>
      <c r="BI56" s="339"/>
      <c r="BJ56" s="340" t="e">
        <f t="shared" si="3"/>
        <v>#DIV/0!</v>
      </c>
      <c r="BK56" s="339"/>
      <c r="BL56" s="339"/>
      <c r="BM56" s="340" t="e">
        <f t="shared" si="4"/>
        <v>#DIV/0!</v>
      </c>
      <c r="BN56" s="339"/>
      <c r="BO56" s="339"/>
      <c r="BP56" s="340" t="e">
        <f t="shared" si="5"/>
        <v>#DIV/0!</v>
      </c>
      <c r="BQ56" s="339"/>
      <c r="BR56" s="339"/>
      <c r="BS56" s="340" t="e">
        <f t="shared" si="6"/>
        <v>#DIV/0!</v>
      </c>
      <c r="BT56" s="339"/>
      <c r="BU56" s="339"/>
      <c r="BV56" s="340" t="e">
        <f t="shared" si="7"/>
        <v>#DIV/0!</v>
      </c>
      <c r="BW56" s="1165"/>
      <c r="BX56" s="1166"/>
      <c r="BY56" s="342" t="str">
        <f t="shared" si="9"/>
        <v>NA</v>
      </c>
      <c r="BZ56" s="341" t="e">
        <f t="shared" si="10"/>
        <v>#DIV/0!</v>
      </c>
      <c r="CA56" s="341" t="e">
        <f t="shared" si="11"/>
        <v>#DIV/0!</v>
      </c>
      <c r="CB56" s="335"/>
      <c r="CC56" s="336"/>
      <c r="CD56" s="336"/>
      <c r="CE56" s="309"/>
      <c r="CH56" s="309"/>
    </row>
    <row r="57" spans="1:86" ht="45" customHeight="1">
      <c r="A57" s="471" t="s">
        <v>32</v>
      </c>
      <c r="B57" s="715">
        <v>0.74</v>
      </c>
      <c r="C57" s="715">
        <v>195</v>
      </c>
      <c r="D57" s="715">
        <v>0.2</v>
      </c>
      <c r="E57" s="715">
        <v>4.9000000000000004</v>
      </c>
      <c r="F57" s="715">
        <v>260</v>
      </c>
      <c r="G57" s="716" t="s">
        <v>2461</v>
      </c>
      <c r="H57" s="236"/>
      <c r="I57" s="19" t="s">
        <v>2056</v>
      </c>
      <c r="J57" s="500">
        <v>16</v>
      </c>
      <c r="K57" s="236" t="s">
        <v>2033</v>
      </c>
      <c r="L57" s="495" t="s">
        <v>2034</v>
      </c>
      <c r="N57" s="276"/>
      <c r="Q57" s="17"/>
      <c r="R57" s="267" t="s">
        <v>122</v>
      </c>
      <c r="S57" s="22" t="s">
        <v>87</v>
      </c>
      <c r="T57" s="22" t="s">
        <v>841</v>
      </c>
      <c r="U57" s="244">
        <v>0.13</v>
      </c>
      <c r="V57" s="22" t="s">
        <v>121</v>
      </c>
      <c r="W57" s="23" t="s">
        <v>348</v>
      </c>
      <c r="X57" s="23" t="s">
        <v>349</v>
      </c>
      <c r="Y57" s="268" t="s">
        <v>350</v>
      </c>
      <c r="Z57" s="19"/>
      <c r="AA57" s="19"/>
      <c r="AB57" s="19"/>
      <c r="AC57" s="19"/>
      <c r="AD57" s="19"/>
      <c r="AE57" s="19"/>
      <c r="AF57" s="264" t="s">
        <v>1248</v>
      </c>
      <c r="AG57" s="722" t="s">
        <v>1236</v>
      </c>
      <c r="AH57" s="9" t="s">
        <v>74</v>
      </c>
      <c r="AI57" s="3">
        <v>0.74</v>
      </c>
      <c r="AJ57" s="3">
        <v>0.76</v>
      </c>
      <c r="AK57" s="3">
        <v>0.75</v>
      </c>
      <c r="AL57" s="4">
        <v>18.888888888888889</v>
      </c>
      <c r="AM57" s="4">
        <v>22.222222222222221</v>
      </c>
      <c r="AN57" s="9" t="s">
        <v>1188</v>
      </c>
      <c r="AO57" s="256"/>
      <c r="AP57" s="256" t="s">
        <v>1568</v>
      </c>
      <c r="AQ57" s="9"/>
      <c r="AR57" s="9"/>
      <c r="AS57" s="9"/>
      <c r="AT57" s="9"/>
      <c r="AU57" s="309"/>
      <c r="AV57" s="309"/>
      <c r="AW57" s="309"/>
      <c r="AX57" s="309"/>
      <c r="AY57" s="309"/>
      <c r="AZ57" s="309"/>
      <c r="BA57" s="309"/>
      <c r="BB57" s="309"/>
      <c r="BC57" s="309"/>
      <c r="BD57" s="331" t="s">
        <v>966</v>
      </c>
      <c r="BE57" s="339"/>
      <c r="BF57" s="339"/>
      <c r="BG57" s="340" t="e">
        <f t="shared" si="8"/>
        <v>#DIV/0!</v>
      </c>
      <c r="BH57" s="339"/>
      <c r="BI57" s="339"/>
      <c r="BJ57" s="340" t="e">
        <f t="shared" si="3"/>
        <v>#DIV/0!</v>
      </c>
      <c r="BK57" s="339"/>
      <c r="BL57" s="339"/>
      <c r="BM57" s="340" t="e">
        <f t="shared" si="4"/>
        <v>#DIV/0!</v>
      </c>
      <c r="BN57" s="339"/>
      <c r="BO57" s="339"/>
      <c r="BP57" s="340" t="e">
        <f t="shared" si="5"/>
        <v>#DIV/0!</v>
      </c>
      <c r="BQ57" s="339"/>
      <c r="BR57" s="339"/>
      <c r="BS57" s="340" t="e">
        <f t="shared" si="6"/>
        <v>#DIV/0!</v>
      </c>
      <c r="BT57" s="339"/>
      <c r="BU57" s="339"/>
      <c r="BV57" s="340" t="e">
        <f t="shared" si="7"/>
        <v>#DIV/0!</v>
      </c>
      <c r="BW57" s="1165"/>
      <c r="BX57" s="1166"/>
      <c r="BY57" s="342" t="str">
        <f t="shared" si="9"/>
        <v>NA</v>
      </c>
      <c r="BZ57" s="341" t="e">
        <f t="shared" si="10"/>
        <v>#DIV/0!</v>
      </c>
      <c r="CA57" s="341" t="e">
        <f t="shared" si="11"/>
        <v>#DIV/0!</v>
      </c>
      <c r="CB57" s="335"/>
      <c r="CC57" s="336"/>
      <c r="CD57" s="336"/>
      <c r="CE57" s="309"/>
      <c r="CH57" s="309"/>
    </row>
    <row r="58" spans="1:86" ht="45" customHeight="1">
      <c r="A58" s="471" t="s">
        <v>16</v>
      </c>
      <c r="B58" s="715">
        <v>0.68</v>
      </c>
      <c r="C58" s="715">
        <v>300</v>
      </c>
      <c r="D58" s="715">
        <v>0.1</v>
      </c>
      <c r="E58" s="715">
        <v>4.6500000000000004</v>
      </c>
      <c r="F58" s="715">
        <v>240</v>
      </c>
      <c r="G58" s="716" t="s">
        <v>2532</v>
      </c>
      <c r="H58" s="236"/>
      <c r="I58" s="19"/>
      <c r="J58" s="501">
        <v>20</v>
      </c>
      <c r="K58" s="236" t="s">
        <v>2035</v>
      </c>
      <c r="L58" s="495" t="s">
        <v>2036</v>
      </c>
      <c r="N58" s="276"/>
      <c r="Q58" s="17"/>
      <c r="R58" s="267" t="s">
        <v>139</v>
      </c>
      <c r="S58" s="22" t="s">
        <v>85</v>
      </c>
      <c r="T58" s="22" t="s">
        <v>841</v>
      </c>
      <c r="U58" s="244">
        <v>0.05</v>
      </c>
      <c r="V58" s="22" t="s">
        <v>233</v>
      </c>
      <c r="W58" s="23" t="s">
        <v>351</v>
      </c>
      <c r="X58" s="23" t="s">
        <v>352</v>
      </c>
      <c r="Y58" s="268" t="s">
        <v>353</v>
      </c>
      <c r="Z58" s="19"/>
      <c r="AA58" s="19"/>
      <c r="AB58" s="19"/>
      <c r="AC58" s="19"/>
      <c r="AD58" s="19"/>
      <c r="AE58" s="19"/>
      <c r="AF58" s="264" t="s">
        <v>1249</v>
      </c>
      <c r="AG58" s="722" t="s">
        <v>1213</v>
      </c>
      <c r="AH58" s="9" t="s">
        <v>74</v>
      </c>
      <c r="AI58" s="3">
        <v>0.74</v>
      </c>
      <c r="AJ58" s="3">
        <v>0.78</v>
      </c>
      <c r="AK58" s="3">
        <v>0.76</v>
      </c>
      <c r="AL58" s="4">
        <v>20</v>
      </c>
      <c r="AM58" s="4">
        <v>25.555555555555557</v>
      </c>
      <c r="AN58" s="9" t="s">
        <v>1190</v>
      </c>
      <c r="AO58" s="256"/>
      <c r="AP58" s="256" t="s">
        <v>1569</v>
      </c>
      <c r="AQ58" s="9"/>
      <c r="AR58" s="9"/>
      <c r="AS58" s="9"/>
      <c r="AT58" s="9"/>
      <c r="AU58" s="309"/>
      <c r="AV58" s="309"/>
      <c r="AW58" s="309"/>
      <c r="AX58" s="309"/>
      <c r="AY58" s="309"/>
      <c r="AZ58" s="309"/>
      <c r="BA58" s="309"/>
      <c r="BB58" s="309"/>
      <c r="BC58" s="309"/>
      <c r="BD58" s="331" t="s">
        <v>967</v>
      </c>
      <c r="BE58" s="339">
        <v>50</v>
      </c>
      <c r="BF58" s="339">
        <v>100</v>
      </c>
      <c r="BG58" s="340">
        <f t="shared" si="8"/>
        <v>75</v>
      </c>
      <c r="BH58" s="339">
        <v>100</v>
      </c>
      <c r="BI58" s="339">
        <v>300</v>
      </c>
      <c r="BJ58" s="340">
        <f t="shared" si="3"/>
        <v>200</v>
      </c>
      <c r="BK58" s="339">
        <v>50</v>
      </c>
      <c r="BL58" s="339">
        <v>150</v>
      </c>
      <c r="BM58" s="340">
        <f t="shared" si="4"/>
        <v>100</v>
      </c>
      <c r="BN58" s="339">
        <v>0</v>
      </c>
      <c r="BO58" s="339">
        <v>10</v>
      </c>
      <c r="BP58" s="340">
        <f t="shared" si="5"/>
        <v>5</v>
      </c>
      <c r="BQ58" s="339">
        <v>0</v>
      </c>
      <c r="BR58" s="339">
        <v>100</v>
      </c>
      <c r="BS58" s="340">
        <f t="shared" si="6"/>
        <v>50</v>
      </c>
      <c r="BT58" s="339">
        <v>50</v>
      </c>
      <c r="BU58" s="339">
        <v>150</v>
      </c>
      <c r="BV58" s="340">
        <f t="shared" si="7"/>
        <v>100</v>
      </c>
      <c r="BW58" s="1165"/>
      <c r="BX58" s="1166"/>
      <c r="BY58" s="342">
        <f t="shared" si="9"/>
        <v>2</v>
      </c>
      <c r="BZ58" s="341">
        <f t="shared" si="10"/>
        <v>81.967213114754102</v>
      </c>
      <c r="CA58" s="341">
        <f t="shared" si="11"/>
        <v>46.252927400468387</v>
      </c>
      <c r="CB58" s="335"/>
      <c r="CC58" s="336"/>
      <c r="CD58" s="336"/>
      <c r="CE58" s="309"/>
      <c r="CH58" s="309"/>
    </row>
    <row r="59" spans="1:86" ht="45" customHeight="1">
      <c r="A59" s="471" t="s">
        <v>2587</v>
      </c>
      <c r="B59" s="715">
        <v>0.72</v>
      </c>
      <c r="C59" s="715">
        <v>195</v>
      </c>
      <c r="D59" s="715">
        <v>0.05</v>
      </c>
      <c r="E59" s="715">
        <v>5.0999999999999996</v>
      </c>
      <c r="F59" s="715">
        <v>260</v>
      </c>
      <c r="G59" s="716"/>
      <c r="H59" s="236"/>
      <c r="I59" s="19"/>
      <c r="J59" s="502">
        <v>24</v>
      </c>
      <c r="K59" s="236" t="s">
        <v>2037</v>
      </c>
      <c r="L59" s="495" t="s">
        <v>2038</v>
      </c>
      <c r="N59" s="276"/>
      <c r="Q59" s="17"/>
      <c r="R59" s="267" t="s">
        <v>140</v>
      </c>
      <c r="S59" s="22" t="s">
        <v>80</v>
      </c>
      <c r="T59" s="22" t="s">
        <v>841</v>
      </c>
      <c r="U59" s="244">
        <v>0.11</v>
      </c>
      <c r="V59" s="22" t="s">
        <v>99</v>
      </c>
      <c r="W59" s="23" t="s">
        <v>354</v>
      </c>
      <c r="X59" s="23" t="s">
        <v>355</v>
      </c>
      <c r="Y59" s="269" t="s">
        <v>101</v>
      </c>
      <c r="Z59" s="19"/>
      <c r="AA59" s="19"/>
      <c r="AB59" s="19"/>
      <c r="AC59" s="19"/>
      <c r="AD59" s="19"/>
      <c r="AE59" s="19"/>
      <c r="AF59" s="264" t="s">
        <v>1250</v>
      </c>
      <c r="AG59" s="722" t="s">
        <v>1213</v>
      </c>
      <c r="AH59" s="9" t="s">
        <v>74</v>
      </c>
      <c r="AI59" s="3">
        <v>0.73</v>
      </c>
      <c r="AJ59" s="3">
        <v>0.77</v>
      </c>
      <c r="AK59" s="3">
        <v>0.75</v>
      </c>
      <c r="AL59" s="4">
        <v>18.333333333333332</v>
      </c>
      <c r="AM59" s="4">
        <v>23.888888888888889</v>
      </c>
      <c r="AN59" s="9" t="s">
        <v>1188</v>
      </c>
      <c r="AO59" s="256"/>
      <c r="AP59" s="256" t="s">
        <v>1570</v>
      </c>
      <c r="AQ59" s="9"/>
      <c r="AR59" s="9"/>
      <c r="AS59" s="9"/>
      <c r="AT59" s="9"/>
      <c r="AU59" s="309"/>
      <c r="AV59" s="309"/>
      <c r="AW59" s="309"/>
      <c r="AX59" s="309"/>
      <c r="AY59" s="309"/>
      <c r="AZ59" s="309"/>
      <c r="BA59" s="309"/>
      <c r="BB59" s="309"/>
      <c r="BC59" s="309"/>
      <c r="BD59" s="326" t="s">
        <v>968</v>
      </c>
      <c r="BE59" s="339"/>
      <c r="BF59" s="339"/>
      <c r="BG59" s="340" t="e">
        <f t="shared" si="8"/>
        <v>#DIV/0!</v>
      </c>
      <c r="BH59" s="339"/>
      <c r="BI59" s="339"/>
      <c r="BJ59" s="340" t="e">
        <f t="shared" si="3"/>
        <v>#DIV/0!</v>
      </c>
      <c r="BK59" s="339"/>
      <c r="BL59" s="339"/>
      <c r="BM59" s="340" t="e">
        <f t="shared" si="4"/>
        <v>#DIV/0!</v>
      </c>
      <c r="BN59" s="339"/>
      <c r="BO59" s="339"/>
      <c r="BP59" s="340" t="e">
        <f t="shared" si="5"/>
        <v>#DIV/0!</v>
      </c>
      <c r="BQ59" s="339"/>
      <c r="BR59" s="339"/>
      <c r="BS59" s="340" t="e">
        <f t="shared" si="6"/>
        <v>#DIV/0!</v>
      </c>
      <c r="BT59" s="339"/>
      <c r="BU59" s="339"/>
      <c r="BV59" s="340" t="e">
        <f t="shared" si="7"/>
        <v>#DIV/0!</v>
      </c>
      <c r="BW59" s="1165"/>
      <c r="BX59" s="1166"/>
      <c r="BY59" s="342" t="str">
        <f t="shared" si="9"/>
        <v>NA</v>
      </c>
      <c r="BZ59" s="341" t="e">
        <f t="shared" si="10"/>
        <v>#DIV/0!</v>
      </c>
      <c r="CA59" s="341" t="e">
        <f t="shared" si="11"/>
        <v>#DIV/0!</v>
      </c>
      <c r="CB59" s="335"/>
      <c r="CC59" s="336"/>
      <c r="CD59" s="336"/>
      <c r="CE59" s="309"/>
      <c r="CH59" s="309"/>
    </row>
    <row r="60" spans="1:86" ht="45" customHeight="1">
      <c r="A60" s="703" t="s">
        <v>2451</v>
      </c>
      <c r="B60" s="704"/>
      <c r="C60" s="704"/>
      <c r="D60" s="704"/>
      <c r="E60" s="704"/>
      <c r="F60" s="704"/>
      <c r="G60" s="704"/>
      <c r="H60" s="236"/>
      <c r="I60" s="19" t="s">
        <v>2058</v>
      </c>
      <c r="J60" s="503">
        <v>30</v>
      </c>
      <c r="K60" s="236" t="s">
        <v>2039</v>
      </c>
      <c r="L60" s="495" t="s">
        <v>2040</v>
      </c>
      <c r="N60" s="276"/>
      <c r="Q60" s="17"/>
      <c r="R60" s="267" t="s">
        <v>140</v>
      </c>
      <c r="S60" s="22" t="s">
        <v>85</v>
      </c>
      <c r="T60" s="22" t="s">
        <v>841</v>
      </c>
      <c r="U60" s="244">
        <v>0.1</v>
      </c>
      <c r="V60" s="22" t="s">
        <v>99</v>
      </c>
      <c r="W60" s="23" t="s">
        <v>2426</v>
      </c>
      <c r="X60" s="23" t="s">
        <v>2425</v>
      </c>
      <c r="Y60" s="269" t="s">
        <v>101</v>
      </c>
      <c r="AA60" s="19"/>
      <c r="AB60" s="19"/>
      <c r="AC60" s="19"/>
      <c r="AD60" s="19"/>
      <c r="AE60" s="19"/>
      <c r="AF60" s="264" t="s">
        <v>2569</v>
      </c>
      <c r="AG60" s="722"/>
      <c r="AH60" s="9" t="s">
        <v>74</v>
      </c>
      <c r="AI60" s="3">
        <v>0.74</v>
      </c>
      <c r="AJ60" s="3">
        <v>0.78</v>
      </c>
      <c r="AK60" s="3">
        <f>IFERROR(AVERAGE(AI60,AJ60),"")</f>
        <v>0.76</v>
      </c>
      <c r="AL60" s="4">
        <v>20</v>
      </c>
      <c r="AM60" s="4">
        <v>24</v>
      </c>
      <c r="AN60" s="9" t="s">
        <v>75</v>
      </c>
      <c r="AO60" s="256"/>
      <c r="AP60" s="256"/>
      <c r="AQ60" s="9"/>
      <c r="AR60" s="263"/>
      <c r="AS60" s="9"/>
      <c r="AT60" s="9"/>
      <c r="AU60" s="309"/>
      <c r="AV60" s="309"/>
      <c r="AW60" s="309"/>
      <c r="AX60" s="309"/>
      <c r="AY60" s="309"/>
      <c r="AZ60" s="309"/>
      <c r="BA60" s="309"/>
      <c r="BB60" s="309"/>
      <c r="BC60" s="309"/>
      <c r="BD60" s="331" t="s">
        <v>969</v>
      </c>
      <c r="BE60" s="339"/>
      <c r="BF60" s="339"/>
      <c r="BG60" s="340" t="e">
        <f t="shared" si="8"/>
        <v>#DIV/0!</v>
      </c>
      <c r="BH60" s="339"/>
      <c r="BI60" s="339"/>
      <c r="BJ60" s="340" t="e">
        <f t="shared" si="3"/>
        <v>#DIV/0!</v>
      </c>
      <c r="BK60" s="339"/>
      <c r="BL60" s="339"/>
      <c r="BM60" s="340" t="e">
        <f t="shared" si="4"/>
        <v>#DIV/0!</v>
      </c>
      <c r="BN60" s="339"/>
      <c r="BO60" s="339"/>
      <c r="BP60" s="340" t="e">
        <f t="shared" si="5"/>
        <v>#DIV/0!</v>
      </c>
      <c r="BQ60" s="339"/>
      <c r="BR60" s="339"/>
      <c r="BS60" s="340" t="e">
        <f t="shared" si="6"/>
        <v>#DIV/0!</v>
      </c>
      <c r="BT60" s="339"/>
      <c r="BU60" s="339"/>
      <c r="BV60" s="340" t="e">
        <f t="shared" si="7"/>
        <v>#DIV/0!</v>
      </c>
      <c r="BW60" s="1165"/>
      <c r="BX60" s="1166"/>
      <c r="BY60" s="342" t="str">
        <f t="shared" si="9"/>
        <v>NA</v>
      </c>
      <c r="BZ60" s="341" t="e">
        <f t="shared" si="10"/>
        <v>#DIV/0!</v>
      </c>
      <c r="CA60" s="341" t="e">
        <f t="shared" si="11"/>
        <v>#DIV/0!</v>
      </c>
      <c r="CB60" s="335"/>
      <c r="CC60" s="336"/>
      <c r="CD60" s="336"/>
      <c r="CE60" s="309"/>
      <c r="CH60" s="309"/>
    </row>
    <row r="61" spans="1:86" ht="45" customHeight="1">
      <c r="A61" s="706" t="s">
        <v>2595</v>
      </c>
      <c r="B61" s="710"/>
      <c r="C61" s="707"/>
      <c r="D61" s="707"/>
      <c r="E61" s="707"/>
      <c r="F61" s="707"/>
      <c r="G61" s="708"/>
      <c r="H61" s="236"/>
      <c r="I61" s="19"/>
      <c r="J61" s="510">
        <v>40</v>
      </c>
      <c r="K61" s="513" t="s">
        <v>2041</v>
      </c>
      <c r="L61" s="495" t="s">
        <v>2042</v>
      </c>
      <c r="N61" s="511" t="s">
        <v>2062</v>
      </c>
      <c r="Q61" s="17"/>
      <c r="R61" s="267" t="s">
        <v>141</v>
      </c>
      <c r="S61" s="22" t="s">
        <v>85</v>
      </c>
      <c r="T61" s="22" t="s">
        <v>841</v>
      </c>
      <c r="U61" s="244">
        <v>0.04</v>
      </c>
      <c r="V61" s="22" t="s">
        <v>99</v>
      </c>
      <c r="W61" s="23" t="s">
        <v>356</v>
      </c>
      <c r="X61" s="23" t="s">
        <v>357</v>
      </c>
      <c r="Y61" s="268" t="s">
        <v>358</v>
      </c>
      <c r="Z61" s="19"/>
      <c r="AA61" s="19"/>
      <c r="AB61" s="19"/>
      <c r="AC61" s="19"/>
      <c r="AD61" s="19"/>
      <c r="AE61" s="19"/>
      <c r="AF61" s="264" t="s">
        <v>1251</v>
      </c>
      <c r="AG61" s="722" t="s">
        <v>1208</v>
      </c>
      <c r="AH61" s="9" t="s">
        <v>74</v>
      </c>
      <c r="AI61" s="3">
        <v>0.72</v>
      </c>
      <c r="AJ61" s="3">
        <v>0.85</v>
      </c>
      <c r="AK61" s="3">
        <v>0.78500000000000003</v>
      </c>
      <c r="AL61" s="4">
        <v>18.333333333333332</v>
      </c>
      <c r="AM61" s="4">
        <v>25.555555555555557</v>
      </c>
      <c r="AN61" s="9" t="s">
        <v>1186</v>
      </c>
      <c r="AO61" s="256"/>
      <c r="AP61" s="256" t="s">
        <v>1571</v>
      </c>
      <c r="AQ61" s="9"/>
      <c r="AR61" s="9"/>
      <c r="AS61" s="9"/>
      <c r="AT61" s="9"/>
      <c r="AU61" s="309"/>
      <c r="AV61" s="309"/>
      <c r="AW61" s="309"/>
      <c r="AX61" s="309"/>
      <c r="AY61" s="309"/>
      <c r="AZ61" s="309"/>
      <c r="BA61" s="309"/>
      <c r="BB61" s="309"/>
      <c r="BC61" s="309"/>
      <c r="BD61" s="331" t="s">
        <v>970</v>
      </c>
      <c r="BE61" s="339"/>
      <c r="BF61" s="339"/>
      <c r="BG61" s="340" t="e">
        <f t="shared" si="8"/>
        <v>#DIV/0!</v>
      </c>
      <c r="BH61" s="339"/>
      <c r="BI61" s="339"/>
      <c r="BJ61" s="340" t="e">
        <f t="shared" si="3"/>
        <v>#DIV/0!</v>
      </c>
      <c r="BK61" s="339"/>
      <c r="BL61" s="339"/>
      <c r="BM61" s="340" t="e">
        <f t="shared" si="4"/>
        <v>#DIV/0!</v>
      </c>
      <c r="BN61" s="339"/>
      <c r="BO61" s="339"/>
      <c r="BP61" s="340" t="e">
        <f t="shared" si="5"/>
        <v>#DIV/0!</v>
      </c>
      <c r="BQ61" s="339"/>
      <c r="BR61" s="339"/>
      <c r="BS61" s="340" t="e">
        <f t="shared" si="6"/>
        <v>#DIV/0!</v>
      </c>
      <c r="BT61" s="339"/>
      <c r="BU61" s="339"/>
      <c r="BV61" s="340" t="e">
        <f t="shared" si="7"/>
        <v>#DIV/0!</v>
      </c>
      <c r="BW61" s="1165"/>
      <c r="BX61" s="1166"/>
      <c r="BY61" s="342" t="str">
        <f t="shared" si="9"/>
        <v>NA</v>
      </c>
      <c r="BZ61" s="341" t="e">
        <f t="shared" si="10"/>
        <v>#DIV/0!</v>
      </c>
      <c r="CA61" s="341" t="e">
        <f t="shared" si="11"/>
        <v>#DIV/0!</v>
      </c>
      <c r="CB61" s="335"/>
      <c r="CC61" s="336"/>
      <c r="CD61" s="336"/>
      <c r="CE61" s="309"/>
      <c r="CH61" s="309"/>
    </row>
    <row r="62" spans="1:86" ht="45" customHeight="1">
      <c r="A62" s="471" t="s">
        <v>25</v>
      </c>
      <c r="B62" s="715">
        <v>0.74</v>
      </c>
      <c r="C62" s="715">
        <v>100</v>
      </c>
      <c r="D62" s="715">
        <v>0.2</v>
      </c>
      <c r="E62" s="715">
        <v>5.03</v>
      </c>
      <c r="F62" s="715">
        <v>260</v>
      </c>
      <c r="G62" s="716" t="s">
        <v>2588</v>
      </c>
      <c r="H62" s="236"/>
      <c r="I62" s="19"/>
      <c r="J62" s="504">
        <v>50</v>
      </c>
      <c r="K62" s="236" t="s">
        <v>2043</v>
      </c>
      <c r="L62" s="495" t="s">
        <v>2044</v>
      </c>
      <c r="Q62" s="17"/>
      <c r="R62" s="267" t="s">
        <v>142</v>
      </c>
      <c r="S62" s="22" t="s">
        <v>85</v>
      </c>
      <c r="T62" s="22" t="s">
        <v>841</v>
      </c>
      <c r="U62" s="244">
        <v>0.04</v>
      </c>
      <c r="V62" s="22" t="s">
        <v>99</v>
      </c>
      <c r="W62" s="23" t="s">
        <v>359</v>
      </c>
      <c r="X62" s="23" t="s">
        <v>360</v>
      </c>
      <c r="Y62" s="268" t="s">
        <v>361</v>
      </c>
      <c r="Z62" s="19"/>
      <c r="AA62" s="19"/>
      <c r="AB62" s="19"/>
      <c r="AC62" s="19"/>
      <c r="AD62" s="19"/>
      <c r="AE62" s="19"/>
      <c r="AF62" s="264" t="s">
        <v>1252</v>
      </c>
      <c r="AG62" s="722" t="s">
        <v>1208</v>
      </c>
      <c r="AH62" s="9" t="s">
        <v>74</v>
      </c>
      <c r="AI62" s="3">
        <v>0.74</v>
      </c>
      <c r="AJ62" s="3">
        <v>0.78</v>
      </c>
      <c r="AK62" s="3">
        <v>0.76</v>
      </c>
      <c r="AL62" s="4">
        <v>17.777777777777779</v>
      </c>
      <c r="AM62" s="4">
        <v>25.555555555555557</v>
      </c>
      <c r="AN62" s="9" t="s">
        <v>1188</v>
      </c>
      <c r="AO62" s="256"/>
      <c r="AP62" s="256" t="s">
        <v>1572</v>
      </c>
      <c r="AQ62" s="9"/>
      <c r="AR62" s="9"/>
      <c r="AS62" s="9"/>
      <c r="AT62" s="9"/>
      <c r="AU62" s="309"/>
      <c r="AV62" s="309"/>
      <c r="AW62" s="309"/>
      <c r="AX62" s="309"/>
      <c r="AY62" s="309"/>
      <c r="AZ62" s="309"/>
      <c r="BA62" s="309"/>
      <c r="BB62" s="309"/>
      <c r="BC62" s="309"/>
      <c r="BD62" s="331" t="s">
        <v>971</v>
      </c>
      <c r="BE62" s="339"/>
      <c r="BF62" s="339"/>
      <c r="BG62" s="340" t="e">
        <f t="shared" si="8"/>
        <v>#DIV/0!</v>
      </c>
      <c r="BH62" s="339"/>
      <c r="BI62" s="339"/>
      <c r="BJ62" s="340" t="e">
        <f t="shared" si="3"/>
        <v>#DIV/0!</v>
      </c>
      <c r="BK62" s="339"/>
      <c r="BL62" s="339"/>
      <c r="BM62" s="340" t="e">
        <f t="shared" si="4"/>
        <v>#DIV/0!</v>
      </c>
      <c r="BN62" s="339"/>
      <c r="BO62" s="339"/>
      <c r="BP62" s="340" t="e">
        <f t="shared" si="5"/>
        <v>#DIV/0!</v>
      </c>
      <c r="BQ62" s="339"/>
      <c r="BR62" s="339"/>
      <c r="BS62" s="340" t="e">
        <f t="shared" si="6"/>
        <v>#DIV/0!</v>
      </c>
      <c r="BT62" s="339"/>
      <c r="BU62" s="339"/>
      <c r="BV62" s="340" t="e">
        <f t="shared" si="7"/>
        <v>#DIV/0!</v>
      </c>
      <c r="BW62" s="1165"/>
      <c r="BX62" s="1166"/>
      <c r="BY62" s="342" t="str">
        <f t="shared" si="9"/>
        <v>NA</v>
      </c>
      <c r="BZ62" s="341" t="e">
        <f t="shared" si="10"/>
        <v>#DIV/0!</v>
      </c>
      <c r="CA62" s="341" t="e">
        <f t="shared" si="11"/>
        <v>#DIV/0!</v>
      </c>
      <c r="CB62" s="335"/>
      <c r="CC62" s="336"/>
      <c r="CD62" s="336"/>
      <c r="CE62" s="309"/>
      <c r="CH62" s="309"/>
    </row>
    <row r="63" spans="1:86" ht="45" customHeight="1">
      <c r="A63" s="471" t="s">
        <v>27</v>
      </c>
      <c r="B63" s="715">
        <v>0.75</v>
      </c>
      <c r="C63" s="715">
        <v>50</v>
      </c>
      <c r="D63" s="715">
        <v>0.3</v>
      </c>
      <c r="E63" s="715">
        <v>5.12</v>
      </c>
      <c r="F63" s="715">
        <v>260</v>
      </c>
      <c r="G63" s="716" t="s">
        <v>2588</v>
      </c>
      <c r="H63" s="236"/>
      <c r="I63" s="19" t="s">
        <v>2059</v>
      </c>
      <c r="J63" s="505">
        <v>60</v>
      </c>
      <c r="K63" s="236" t="s">
        <v>2045</v>
      </c>
      <c r="L63" s="495" t="s">
        <v>2046</v>
      </c>
      <c r="Q63" s="17"/>
      <c r="R63" s="267" t="s">
        <v>143</v>
      </c>
      <c r="S63" s="22" t="s">
        <v>87</v>
      </c>
      <c r="T63" s="22" t="s">
        <v>841</v>
      </c>
      <c r="U63" s="244">
        <v>0.08</v>
      </c>
      <c r="V63" s="22" t="s">
        <v>121</v>
      </c>
      <c r="W63" s="23" t="s">
        <v>362</v>
      </c>
      <c r="X63" s="23" t="s">
        <v>363</v>
      </c>
      <c r="Y63" s="268" t="s">
        <v>142</v>
      </c>
      <c r="Z63" s="19"/>
      <c r="AA63" s="19"/>
      <c r="AB63" s="19"/>
      <c r="AC63" s="19"/>
      <c r="AD63" s="19"/>
      <c r="AE63" s="19"/>
      <c r="AF63" s="264" t="s">
        <v>1253</v>
      </c>
      <c r="AG63" s="722" t="s">
        <v>1205</v>
      </c>
      <c r="AH63" s="9" t="s">
        <v>74</v>
      </c>
      <c r="AI63" s="3">
        <v>0.78</v>
      </c>
      <c r="AJ63" s="3">
        <v>0.85</v>
      </c>
      <c r="AK63" s="3">
        <v>0.81499999999999995</v>
      </c>
      <c r="AL63" s="4">
        <v>20</v>
      </c>
      <c r="AM63" s="4">
        <v>25.555555555555557</v>
      </c>
      <c r="AN63" s="9" t="s">
        <v>1188</v>
      </c>
      <c r="AO63" s="256"/>
      <c r="AP63" s="256" t="s">
        <v>1573</v>
      </c>
      <c r="AQ63" s="9"/>
      <c r="AR63" s="9"/>
      <c r="AS63" s="9"/>
      <c r="AT63" s="9"/>
      <c r="AU63" s="309"/>
      <c r="AV63" s="309"/>
      <c r="AW63" s="309"/>
      <c r="AX63" s="309"/>
      <c r="AY63" s="309"/>
      <c r="AZ63" s="309"/>
      <c r="BA63" s="309"/>
      <c r="BB63" s="309"/>
      <c r="BC63" s="309"/>
      <c r="BD63" s="326" t="s">
        <v>972</v>
      </c>
      <c r="BE63" s="339"/>
      <c r="BF63" s="339"/>
      <c r="BG63" s="340" t="e">
        <f t="shared" si="8"/>
        <v>#DIV/0!</v>
      </c>
      <c r="BH63" s="339"/>
      <c r="BI63" s="339"/>
      <c r="BJ63" s="340" t="e">
        <f t="shared" si="3"/>
        <v>#DIV/0!</v>
      </c>
      <c r="BK63" s="339"/>
      <c r="BL63" s="339"/>
      <c r="BM63" s="340" t="e">
        <f t="shared" si="4"/>
        <v>#DIV/0!</v>
      </c>
      <c r="BN63" s="339"/>
      <c r="BO63" s="339"/>
      <c r="BP63" s="340" t="e">
        <f t="shared" si="5"/>
        <v>#DIV/0!</v>
      </c>
      <c r="BQ63" s="339"/>
      <c r="BR63" s="339"/>
      <c r="BS63" s="340" t="e">
        <f t="shared" si="6"/>
        <v>#DIV/0!</v>
      </c>
      <c r="BT63" s="339"/>
      <c r="BU63" s="339"/>
      <c r="BV63" s="340" t="e">
        <f t="shared" si="7"/>
        <v>#DIV/0!</v>
      </c>
      <c r="BW63" s="1165"/>
      <c r="BX63" s="1166"/>
      <c r="BY63" s="342" t="str">
        <f t="shared" si="9"/>
        <v>NA</v>
      </c>
      <c r="BZ63" s="341" t="e">
        <f t="shared" si="10"/>
        <v>#DIV/0!</v>
      </c>
      <c r="CA63" s="341" t="e">
        <f t="shared" si="11"/>
        <v>#DIV/0!</v>
      </c>
      <c r="CB63" s="335"/>
      <c r="CC63" s="336"/>
      <c r="CD63" s="336"/>
      <c r="CE63" s="309"/>
      <c r="CH63" s="309"/>
    </row>
    <row r="64" spans="1:86" ht="45" customHeight="1">
      <c r="A64" s="471" t="s">
        <v>53</v>
      </c>
      <c r="B64" s="715">
        <v>0.55000000000000004</v>
      </c>
      <c r="C64" s="715">
        <v>1200</v>
      </c>
      <c r="D64" s="715">
        <v>0.1</v>
      </c>
      <c r="E64" s="715">
        <v>4.71</v>
      </c>
      <c r="F64" s="715">
        <v>210</v>
      </c>
      <c r="G64" s="717"/>
      <c r="H64" s="236"/>
      <c r="I64" s="19" t="s">
        <v>2060</v>
      </c>
      <c r="J64" s="506">
        <v>80</v>
      </c>
      <c r="K64" s="236" t="s">
        <v>2047</v>
      </c>
      <c r="L64" s="495" t="s">
        <v>2048</v>
      </c>
      <c r="Q64" s="17"/>
      <c r="R64" s="267" t="s">
        <v>144</v>
      </c>
      <c r="S64" s="22" t="s">
        <v>87</v>
      </c>
      <c r="T64" s="22" t="s">
        <v>841</v>
      </c>
      <c r="U64" s="244">
        <v>0.06</v>
      </c>
      <c r="V64" s="22" t="s">
        <v>126</v>
      </c>
      <c r="W64" s="24" t="s">
        <v>145</v>
      </c>
      <c r="X64" s="23" t="s">
        <v>364</v>
      </c>
      <c r="Y64" s="269" t="s">
        <v>139</v>
      </c>
      <c r="Z64" s="19"/>
      <c r="AA64" s="19"/>
      <c r="AB64" s="19"/>
      <c r="AC64" s="19"/>
      <c r="AD64" s="19"/>
      <c r="AE64" s="19"/>
      <c r="AF64" s="264" t="s">
        <v>1254</v>
      </c>
      <c r="AG64" s="722" t="s">
        <v>1244</v>
      </c>
      <c r="AH64" s="9" t="s">
        <v>72</v>
      </c>
      <c r="AI64" s="3"/>
      <c r="AJ64" s="3"/>
      <c r="AK64" s="3"/>
      <c r="AL64" s="4">
        <v>26.111111111111111</v>
      </c>
      <c r="AM64" s="4">
        <v>32.222222222222221</v>
      </c>
      <c r="AN64" s="9" t="s">
        <v>1188</v>
      </c>
      <c r="AO64" s="256"/>
      <c r="AP64" s="256" t="s">
        <v>1574</v>
      </c>
      <c r="AQ64" s="9"/>
      <c r="AR64" s="9"/>
      <c r="AS64" s="9"/>
      <c r="AT64" s="9"/>
      <c r="AU64" s="309"/>
      <c r="AV64" s="309"/>
      <c r="AW64" s="309"/>
      <c r="AX64" s="309"/>
      <c r="AY64" s="309"/>
      <c r="AZ64" s="309"/>
      <c r="BA64" s="309"/>
      <c r="BB64" s="309"/>
      <c r="BC64" s="309"/>
      <c r="BD64" s="331" t="s">
        <v>973</v>
      </c>
      <c r="BE64" s="339"/>
      <c r="BF64" s="339"/>
      <c r="BG64" s="340" t="e">
        <f t="shared" si="8"/>
        <v>#DIV/0!</v>
      </c>
      <c r="BH64" s="339"/>
      <c r="BI64" s="339"/>
      <c r="BJ64" s="340" t="e">
        <f t="shared" si="3"/>
        <v>#DIV/0!</v>
      </c>
      <c r="BK64" s="339"/>
      <c r="BL64" s="339"/>
      <c r="BM64" s="340" t="e">
        <f t="shared" si="4"/>
        <v>#DIV/0!</v>
      </c>
      <c r="BN64" s="339"/>
      <c r="BO64" s="339"/>
      <c r="BP64" s="340" t="e">
        <f t="shared" si="5"/>
        <v>#DIV/0!</v>
      </c>
      <c r="BQ64" s="339"/>
      <c r="BR64" s="339"/>
      <c r="BS64" s="340" t="e">
        <f t="shared" si="6"/>
        <v>#DIV/0!</v>
      </c>
      <c r="BT64" s="339"/>
      <c r="BU64" s="339"/>
      <c r="BV64" s="340" t="e">
        <f t="shared" si="7"/>
        <v>#DIV/0!</v>
      </c>
      <c r="BW64" s="1165"/>
      <c r="BX64" s="1166"/>
      <c r="BY64" s="342" t="str">
        <f t="shared" si="9"/>
        <v>NA</v>
      </c>
      <c r="BZ64" s="341" t="e">
        <f t="shared" si="10"/>
        <v>#DIV/0!</v>
      </c>
      <c r="CA64" s="341" t="e">
        <f t="shared" si="11"/>
        <v>#DIV/0!</v>
      </c>
      <c r="CB64" s="335"/>
      <c r="CC64" s="336"/>
      <c r="CD64" s="336"/>
      <c r="CE64" s="309"/>
      <c r="CH64" s="309"/>
    </row>
    <row r="65" spans="1:86" ht="45" customHeight="1">
      <c r="A65" s="706" t="s">
        <v>2534</v>
      </c>
      <c r="B65" s="707"/>
      <c r="C65" s="707"/>
      <c r="D65" s="707"/>
      <c r="E65" s="707"/>
      <c r="F65" s="707"/>
      <c r="G65" s="707"/>
      <c r="H65" s="236"/>
      <c r="I65" s="19"/>
      <c r="J65" s="507">
        <v>100</v>
      </c>
      <c r="K65" s="517" t="s">
        <v>2049</v>
      </c>
      <c r="L65" s="495" t="s">
        <v>2050</v>
      </c>
      <c r="N65" s="511" t="s">
        <v>2066</v>
      </c>
      <c r="Q65" s="17"/>
      <c r="R65" s="267" t="s">
        <v>146</v>
      </c>
      <c r="S65" s="22" t="s">
        <v>87</v>
      </c>
      <c r="T65" s="22" t="s">
        <v>841</v>
      </c>
      <c r="U65" s="244">
        <v>0.12</v>
      </c>
      <c r="V65" s="22" t="s">
        <v>83</v>
      </c>
      <c r="W65" s="23" t="s">
        <v>365</v>
      </c>
      <c r="X65" s="23" t="s">
        <v>366</v>
      </c>
      <c r="Y65" s="269" t="s">
        <v>147</v>
      </c>
      <c r="Z65" s="19"/>
      <c r="AA65" s="19"/>
      <c r="AB65" s="19"/>
      <c r="AC65" s="19"/>
      <c r="AD65" s="19"/>
      <c r="AE65" s="19"/>
      <c r="AF65" s="264" t="s">
        <v>1255</v>
      </c>
      <c r="AG65" s="722" t="s">
        <v>1213</v>
      </c>
      <c r="AH65" s="9" t="s">
        <v>74</v>
      </c>
      <c r="AI65" s="3">
        <v>0.72</v>
      </c>
      <c r="AJ65" s="3">
        <v>0.76</v>
      </c>
      <c r="AK65" s="3">
        <v>0.74</v>
      </c>
      <c r="AL65" s="4">
        <v>18.333333333333332</v>
      </c>
      <c r="AM65" s="4">
        <v>29.444444444444443</v>
      </c>
      <c r="AN65" s="9" t="s">
        <v>1186</v>
      </c>
      <c r="AO65" s="256"/>
      <c r="AP65" s="256" t="s">
        <v>1575</v>
      </c>
      <c r="AQ65" s="9"/>
      <c r="AR65" s="9"/>
      <c r="AS65" s="9"/>
      <c r="AT65" s="9"/>
      <c r="AU65" s="309"/>
      <c r="AV65" s="309"/>
      <c r="AW65" s="309"/>
      <c r="AX65" s="309"/>
      <c r="AY65" s="309"/>
      <c r="AZ65" s="309"/>
      <c r="BA65" s="309"/>
      <c r="BB65" s="309"/>
      <c r="BC65" s="309"/>
      <c r="BD65" s="331" t="s">
        <v>974</v>
      </c>
      <c r="BE65" s="339"/>
      <c r="BF65" s="339"/>
      <c r="BG65" s="340" t="e">
        <f t="shared" si="8"/>
        <v>#DIV/0!</v>
      </c>
      <c r="BH65" s="339"/>
      <c r="BI65" s="339"/>
      <c r="BJ65" s="340" t="e">
        <f t="shared" si="3"/>
        <v>#DIV/0!</v>
      </c>
      <c r="BK65" s="339"/>
      <c r="BL65" s="339"/>
      <c r="BM65" s="340" t="e">
        <f t="shared" si="4"/>
        <v>#DIV/0!</v>
      </c>
      <c r="BN65" s="339"/>
      <c r="BO65" s="339"/>
      <c r="BP65" s="340" t="e">
        <f t="shared" si="5"/>
        <v>#DIV/0!</v>
      </c>
      <c r="BQ65" s="339"/>
      <c r="BR65" s="339"/>
      <c r="BS65" s="340" t="e">
        <f t="shared" si="6"/>
        <v>#DIV/0!</v>
      </c>
      <c r="BT65" s="339"/>
      <c r="BU65" s="339"/>
      <c r="BV65" s="340" t="e">
        <f t="shared" si="7"/>
        <v>#DIV/0!</v>
      </c>
      <c r="BW65" s="1165"/>
      <c r="BX65" s="1166"/>
      <c r="BY65" s="342" t="str">
        <f t="shared" si="9"/>
        <v>NA</v>
      </c>
      <c r="BZ65" s="341" t="e">
        <f t="shared" si="10"/>
        <v>#DIV/0!</v>
      </c>
      <c r="CA65" s="341" t="e">
        <f t="shared" si="11"/>
        <v>#DIV/0!</v>
      </c>
      <c r="CB65" s="335"/>
      <c r="CC65" s="336"/>
      <c r="CD65" s="336"/>
      <c r="CE65" s="309"/>
      <c r="CH65" s="309"/>
    </row>
    <row r="66" spans="1:86" ht="45" customHeight="1">
      <c r="A66" s="471" t="s">
        <v>15</v>
      </c>
      <c r="B66" s="715">
        <v>0.55000000000000004</v>
      </c>
      <c r="C66" s="715">
        <v>1300</v>
      </c>
      <c r="D66" s="715">
        <v>0.05</v>
      </c>
      <c r="E66" s="715">
        <v>4.71</v>
      </c>
      <c r="F66" s="715">
        <v>210</v>
      </c>
      <c r="G66" s="715"/>
      <c r="H66" s="693"/>
      <c r="I66" s="19"/>
      <c r="J66" s="508">
        <v>120</v>
      </c>
      <c r="K66" s="236" t="s">
        <v>2051</v>
      </c>
      <c r="L66" s="495" t="s">
        <v>2052</v>
      </c>
      <c r="Q66" s="17"/>
      <c r="R66" s="267" t="s">
        <v>148</v>
      </c>
      <c r="S66" s="22" t="s">
        <v>82</v>
      </c>
      <c r="T66" s="22" t="s">
        <v>841</v>
      </c>
      <c r="U66" s="244">
        <v>0.15</v>
      </c>
      <c r="V66" s="22" t="s">
        <v>99</v>
      </c>
      <c r="W66" s="23" t="s">
        <v>367</v>
      </c>
      <c r="X66" s="23" t="s">
        <v>368</v>
      </c>
      <c r="Y66" s="269" t="s">
        <v>369</v>
      </c>
      <c r="Z66" s="19"/>
      <c r="AA66" s="19"/>
      <c r="AB66" s="19"/>
      <c r="AC66" s="19"/>
      <c r="AD66" s="19"/>
      <c r="AE66" s="19"/>
      <c r="AF66" s="264" t="s">
        <v>1256</v>
      </c>
      <c r="AG66" s="722" t="s">
        <v>1213</v>
      </c>
      <c r="AH66" s="9" t="s">
        <v>74</v>
      </c>
      <c r="AI66" s="3">
        <v>0.74</v>
      </c>
      <c r="AJ66" s="3">
        <v>0.79</v>
      </c>
      <c r="AK66" s="3">
        <v>0.76500000000000001</v>
      </c>
      <c r="AL66" s="4">
        <v>18.333333333333332</v>
      </c>
      <c r="AM66" s="4">
        <v>26.666666666666668</v>
      </c>
      <c r="AN66" s="9" t="s">
        <v>1188</v>
      </c>
      <c r="AO66" s="256"/>
      <c r="AP66" s="256" t="s">
        <v>1576</v>
      </c>
      <c r="AQ66" s="9"/>
      <c r="AR66" s="9"/>
      <c r="AS66" s="9"/>
      <c r="AT66" s="9"/>
      <c r="AU66" s="309"/>
      <c r="AV66" s="309"/>
      <c r="AW66" s="309"/>
      <c r="AX66" s="309"/>
      <c r="AY66" s="309"/>
      <c r="AZ66" s="309"/>
      <c r="BA66" s="309"/>
      <c r="BB66" s="309"/>
      <c r="BC66" s="309"/>
      <c r="BD66" s="331" t="s">
        <v>975</v>
      </c>
      <c r="BE66" s="339"/>
      <c r="BF66" s="339"/>
      <c r="BG66" s="340" t="e">
        <f t="shared" si="8"/>
        <v>#DIV/0!</v>
      </c>
      <c r="BH66" s="339"/>
      <c r="BI66" s="339"/>
      <c r="BJ66" s="340" t="e">
        <f t="shared" si="3"/>
        <v>#DIV/0!</v>
      </c>
      <c r="BK66" s="339"/>
      <c r="BL66" s="339"/>
      <c r="BM66" s="340" t="e">
        <f t="shared" si="4"/>
        <v>#DIV/0!</v>
      </c>
      <c r="BN66" s="339"/>
      <c r="BO66" s="339"/>
      <c r="BP66" s="340" t="e">
        <f t="shared" si="5"/>
        <v>#DIV/0!</v>
      </c>
      <c r="BQ66" s="339"/>
      <c r="BR66" s="339"/>
      <c r="BS66" s="340" t="e">
        <f t="shared" si="6"/>
        <v>#DIV/0!</v>
      </c>
      <c r="BT66" s="339"/>
      <c r="BU66" s="339"/>
      <c r="BV66" s="340" t="e">
        <f t="shared" si="7"/>
        <v>#DIV/0!</v>
      </c>
      <c r="BW66" s="1165"/>
      <c r="BX66" s="1166"/>
      <c r="BY66" s="342" t="str">
        <f t="shared" si="9"/>
        <v>NA</v>
      </c>
      <c r="BZ66" s="341" t="e">
        <f t="shared" si="10"/>
        <v>#DIV/0!</v>
      </c>
      <c r="CA66" s="341" t="e">
        <f t="shared" si="11"/>
        <v>#DIV/0!</v>
      </c>
      <c r="CB66" s="335"/>
      <c r="CC66" s="336"/>
      <c r="CD66" s="336"/>
      <c r="CE66" s="309"/>
      <c r="CH66" s="309"/>
    </row>
    <row r="67" spans="1:86" ht="45" customHeight="1">
      <c r="A67" s="471" t="s">
        <v>28</v>
      </c>
      <c r="B67" s="715">
        <v>0.55000000000000004</v>
      </c>
      <c r="C67" s="715">
        <v>800</v>
      </c>
      <c r="D67" s="715">
        <v>0.05</v>
      </c>
      <c r="E67" s="715">
        <v>4.71</v>
      </c>
      <c r="F67" s="715">
        <v>200</v>
      </c>
      <c r="G67" s="715"/>
      <c r="H67" s="696"/>
      <c r="I67" s="19" t="s">
        <v>2061</v>
      </c>
      <c r="J67" s="509">
        <v>150</v>
      </c>
      <c r="K67" s="236" t="s">
        <v>2053</v>
      </c>
      <c r="L67" s="495" t="s">
        <v>2054</v>
      </c>
      <c r="Q67" s="17"/>
      <c r="R67" s="267" t="s">
        <v>149</v>
      </c>
      <c r="S67" s="22" t="s">
        <v>85</v>
      </c>
      <c r="T67" s="22" t="s">
        <v>841</v>
      </c>
      <c r="U67" s="244">
        <v>0.03</v>
      </c>
      <c r="V67" s="22" t="s">
        <v>99</v>
      </c>
      <c r="W67" s="23" t="s">
        <v>367</v>
      </c>
      <c r="X67" s="23" t="s">
        <v>370</v>
      </c>
      <c r="Y67" s="268" t="s">
        <v>371</v>
      </c>
      <c r="Z67" s="19"/>
      <c r="AA67" s="19"/>
      <c r="AB67" s="19"/>
      <c r="AC67" s="19"/>
      <c r="AD67" s="19"/>
      <c r="AE67" s="19"/>
      <c r="AF67" s="264" t="s">
        <v>1257</v>
      </c>
      <c r="AG67" s="722" t="s">
        <v>1205</v>
      </c>
      <c r="AH67" s="9" t="s">
        <v>74</v>
      </c>
      <c r="AI67" s="3">
        <v>0.73</v>
      </c>
      <c r="AJ67" s="3">
        <v>0.78</v>
      </c>
      <c r="AK67" s="3">
        <v>0.755</v>
      </c>
      <c r="AL67" s="4">
        <v>20</v>
      </c>
      <c r="AM67" s="4">
        <v>23.888888888888889</v>
      </c>
      <c r="AN67" s="9" t="s">
        <v>1198</v>
      </c>
      <c r="AO67" s="256" t="s">
        <v>2348</v>
      </c>
      <c r="AP67" s="256" t="s">
        <v>1577</v>
      </c>
      <c r="AQ67" s="9"/>
      <c r="AR67" s="724">
        <v>0.1</v>
      </c>
      <c r="AS67" s="9"/>
      <c r="AT67" s="9"/>
      <c r="AU67" s="309"/>
      <c r="AV67" s="309"/>
      <c r="AW67" s="309"/>
      <c r="AX67" s="309"/>
      <c r="AY67" s="309"/>
      <c r="AZ67" s="309"/>
      <c r="BA67" s="309"/>
      <c r="BB67" s="309"/>
      <c r="BC67" s="309"/>
      <c r="BD67" s="326" t="s">
        <v>976</v>
      </c>
      <c r="BE67" s="339"/>
      <c r="BF67" s="339"/>
      <c r="BG67" s="340" t="e">
        <f t="shared" si="8"/>
        <v>#DIV/0!</v>
      </c>
      <c r="BH67" s="339"/>
      <c r="BI67" s="339"/>
      <c r="BJ67" s="340" t="e">
        <f t="shared" si="3"/>
        <v>#DIV/0!</v>
      </c>
      <c r="BK67" s="339"/>
      <c r="BL67" s="339"/>
      <c r="BM67" s="340" t="e">
        <f t="shared" si="4"/>
        <v>#DIV/0!</v>
      </c>
      <c r="BN67" s="339"/>
      <c r="BO67" s="339"/>
      <c r="BP67" s="340" t="e">
        <f t="shared" si="5"/>
        <v>#DIV/0!</v>
      </c>
      <c r="BQ67" s="339"/>
      <c r="BR67" s="339"/>
      <c r="BS67" s="340" t="e">
        <f t="shared" si="6"/>
        <v>#DIV/0!</v>
      </c>
      <c r="BT67" s="339"/>
      <c r="BU67" s="339"/>
      <c r="BV67" s="340" t="e">
        <f t="shared" si="7"/>
        <v>#DIV/0!</v>
      </c>
      <c r="BW67" s="1165"/>
      <c r="BX67" s="1166"/>
      <c r="BY67" s="342" t="str">
        <f t="shared" si="9"/>
        <v>NA</v>
      </c>
      <c r="BZ67" s="341" t="e">
        <f t="shared" si="10"/>
        <v>#DIV/0!</v>
      </c>
      <c r="CA67" s="341" t="e">
        <f t="shared" si="11"/>
        <v>#DIV/0!</v>
      </c>
      <c r="CB67" s="335"/>
      <c r="CC67" s="336"/>
      <c r="CD67" s="336"/>
      <c r="CE67" s="309"/>
      <c r="CH67" s="309"/>
    </row>
    <row r="68" spans="1:86" ht="45" customHeight="1">
      <c r="A68" s="471" t="s">
        <v>39</v>
      </c>
      <c r="B68" s="715">
        <v>0.55000000000000004</v>
      </c>
      <c r="C68" s="715">
        <v>1300</v>
      </c>
      <c r="D68" s="715">
        <v>0.05</v>
      </c>
      <c r="E68" s="715">
        <v>4.71</v>
      </c>
      <c r="F68" s="715">
        <v>210</v>
      </c>
      <c r="G68" s="715"/>
      <c r="H68" s="697"/>
      <c r="I68" s="19"/>
      <c r="O68" s="19"/>
      <c r="P68" s="19"/>
      <c r="Q68" s="17"/>
      <c r="R68" s="267" t="s">
        <v>150</v>
      </c>
      <c r="S68" s="22" t="s">
        <v>87</v>
      </c>
      <c r="T68" s="22" t="s">
        <v>841</v>
      </c>
      <c r="U68" s="244">
        <v>0.1</v>
      </c>
      <c r="V68" s="22" t="s">
        <v>233</v>
      </c>
      <c r="W68" s="24" t="s">
        <v>372</v>
      </c>
      <c r="X68" s="23" t="s">
        <v>373</v>
      </c>
      <c r="Y68" s="269" t="s">
        <v>10</v>
      </c>
      <c r="Z68" s="19"/>
      <c r="AA68" s="19"/>
      <c r="AB68" s="19"/>
      <c r="AC68" s="19"/>
      <c r="AD68" s="19"/>
      <c r="AE68" s="19"/>
      <c r="AF68" s="264" t="s">
        <v>1258</v>
      </c>
      <c r="AG68" s="722" t="s">
        <v>1205</v>
      </c>
      <c r="AH68" s="9" t="s">
        <v>74</v>
      </c>
      <c r="AI68" s="3"/>
      <c r="AJ68" s="3"/>
      <c r="AK68" s="3">
        <v>0.75</v>
      </c>
      <c r="AL68" s="4">
        <v>10</v>
      </c>
      <c r="AM68" s="4">
        <v>12.777777777777779</v>
      </c>
      <c r="AN68" s="9" t="s">
        <v>1188</v>
      </c>
      <c r="AO68" s="256"/>
      <c r="AP68" s="256" t="s">
        <v>1578</v>
      </c>
      <c r="AQ68" s="9"/>
      <c r="AR68" s="9"/>
      <c r="AS68" s="9"/>
      <c r="AT68" s="9"/>
      <c r="AU68" s="309"/>
      <c r="AV68" s="309"/>
      <c r="AW68" s="309"/>
      <c r="AX68" s="309"/>
      <c r="AY68" s="309"/>
      <c r="AZ68" s="309"/>
      <c r="BA68" s="309"/>
      <c r="BB68" s="309"/>
      <c r="BC68" s="309"/>
      <c r="BD68" s="331" t="s">
        <v>977</v>
      </c>
      <c r="BE68" s="339"/>
      <c r="BF68" s="339"/>
      <c r="BG68" s="340" t="e">
        <f t="shared" si="8"/>
        <v>#DIV/0!</v>
      </c>
      <c r="BH68" s="339"/>
      <c r="BI68" s="339"/>
      <c r="BJ68" s="340" t="e">
        <f t="shared" si="3"/>
        <v>#DIV/0!</v>
      </c>
      <c r="BK68" s="339"/>
      <c r="BL68" s="339"/>
      <c r="BM68" s="340" t="e">
        <f t="shared" si="4"/>
        <v>#DIV/0!</v>
      </c>
      <c r="BN68" s="339"/>
      <c r="BO68" s="339"/>
      <c r="BP68" s="340" t="e">
        <f t="shared" si="5"/>
        <v>#DIV/0!</v>
      </c>
      <c r="BQ68" s="339"/>
      <c r="BR68" s="339"/>
      <c r="BS68" s="340" t="e">
        <f t="shared" si="6"/>
        <v>#DIV/0!</v>
      </c>
      <c r="BT68" s="339"/>
      <c r="BU68" s="339"/>
      <c r="BV68" s="340" t="e">
        <f t="shared" si="7"/>
        <v>#DIV/0!</v>
      </c>
      <c r="BW68" s="1165"/>
      <c r="BX68" s="1166"/>
      <c r="BY68" s="342" t="str">
        <f t="shared" si="9"/>
        <v>NA</v>
      </c>
      <c r="BZ68" s="341" t="e">
        <f t="shared" si="10"/>
        <v>#DIV/0!</v>
      </c>
      <c r="CA68" s="341" t="e">
        <f t="shared" si="11"/>
        <v>#DIV/0!</v>
      </c>
      <c r="CB68" s="335"/>
      <c r="CC68" s="336"/>
      <c r="CD68" s="336"/>
      <c r="CE68" s="309"/>
      <c r="CH68" s="309"/>
    </row>
    <row r="69" spans="1:86" ht="45" customHeight="1">
      <c r="A69" s="706" t="s">
        <v>2535</v>
      </c>
      <c r="B69" s="707"/>
      <c r="C69" s="707"/>
      <c r="D69" s="707"/>
      <c r="E69" s="707"/>
      <c r="F69" s="707"/>
      <c r="G69" s="707"/>
      <c r="H69" s="697"/>
      <c r="P69" s="19"/>
      <c r="Q69" s="17"/>
      <c r="R69" s="267" t="s">
        <v>151</v>
      </c>
      <c r="S69" s="22" t="s">
        <v>85</v>
      </c>
      <c r="T69" s="22" t="s">
        <v>841</v>
      </c>
      <c r="U69" s="244">
        <v>7.0000000000000007E-2</v>
      </c>
      <c r="V69" s="22" t="s">
        <v>99</v>
      </c>
      <c r="W69" s="23" t="s">
        <v>374</v>
      </c>
      <c r="X69" s="23" t="s">
        <v>375</v>
      </c>
      <c r="Y69" s="269" t="s">
        <v>376</v>
      </c>
      <c r="Z69" s="19"/>
      <c r="AA69" s="19"/>
      <c r="AB69" s="19"/>
      <c r="AC69" s="19"/>
      <c r="AD69" s="19"/>
      <c r="AE69" s="19"/>
      <c r="AF69" s="264" t="s">
        <v>1259</v>
      </c>
      <c r="AG69" s="722" t="s">
        <v>1213</v>
      </c>
      <c r="AH69" s="9" t="s">
        <v>74</v>
      </c>
      <c r="AI69" s="3">
        <v>0.65</v>
      </c>
      <c r="AJ69" s="3">
        <v>0.75</v>
      </c>
      <c r="AK69" s="3">
        <v>0.7</v>
      </c>
      <c r="AL69" s="4">
        <v>17.222222222222221</v>
      </c>
      <c r="AM69" s="4">
        <v>23.888888888888889</v>
      </c>
      <c r="AN69" s="9" t="s">
        <v>1190</v>
      </c>
      <c r="AO69" s="256"/>
      <c r="AP69" s="256" t="s">
        <v>1579</v>
      </c>
      <c r="AQ69" s="9"/>
      <c r="AR69" s="9"/>
      <c r="AS69" s="9"/>
      <c r="AT69" s="9"/>
      <c r="AU69" s="309"/>
      <c r="AV69" s="309"/>
      <c r="AW69" s="309"/>
      <c r="AX69" s="309"/>
      <c r="AY69" s="309"/>
      <c r="AZ69" s="309"/>
      <c r="BA69" s="309"/>
      <c r="BB69" s="309"/>
      <c r="BC69" s="309"/>
      <c r="BD69" s="331" t="s">
        <v>978</v>
      </c>
      <c r="BE69" s="339"/>
      <c r="BF69" s="339"/>
      <c r="BG69" s="340" t="e">
        <f t="shared" si="8"/>
        <v>#DIV/0!</v>
      </c>
      <c r="BH69" s="339"/>
      <c r="BI69" s="339"/>
      <c r="BJ69" s="340" t="e">
        <f t="shared" si="3"/>
        <v>#DIV/0!</v>
      </c>
      <c r="BK69" s="339"/>
      <c r="BL69" s="339"/>
      <c r="BM69" s="340" t="e">
        <f t="shared" si="4"/>
        <v>#DIV/0!</v>
      </c>
      <c r="BN69" s="339"/>
      <c r="BO69" s="339"/>
      <c r="BP69" s="340" t="e">
        <f t="shared" si="5"/>
        <v>#DIV/0!</v>
      </c>
      <c r="BQ69" s="339"/>
      <c r="BR69" s="339"/>
      <c r="BS69" s="340" t="e">
        <f t="shared" si="6"/>
        <v>#DIV/0!</v>
      </c>
      <c r="BT69" s="339"/>
      <c r="BU69" s="339"/>
      <c r="BV69" s="340" t="e">
        <f t="shared" si="7"/>
        <v>#DIV/0!</v>
      </c>
      <c r="BW69" s="1165"/>
      <c r="BX69" s="1166"/>
      <c r="BY69" s="342" t="str">
        <f t="shared" si="9"/>
        <v>NA</v>
      </c>
      <c r="BZ69" s="341" t="e">
        <f t="shared" si="10"/>
        <v>#DIV/0!</v>
      </c>
      <c r="CA69" s="341" t="e">
        <f t="shared" si="11"/>
        <v>#DIV/0!</v>
      </c>
      <c r="CB69" s="335"/>
      <c r="CC69" s="336"/>
      <c r="CD69" s="336"/>
      <c r="CE69" s="309"/>
      <c r="CH69" s="309"/>
    </row>
    <row r="70" spans="1:86" ht="45" customHeight="1">
      <c r="A70" s="471" t="s">
        <v>35</v>
      </c>
      <c r="B70" s="715">
        <v>0.6</v>
      </c>
      <c r="C70" s="715">
        <v>1000</v>
      </c>
      <c r="D70" s="715">
        <v>7.0000000000000007E-2</v>
      </c>
      <c r="E70" s="715">
        <v>3.33</v>
      </c>
      <c r="F70" s="715">
        <v>220</v>
      </c>
      <c r="G70" s="715"/>
      <c r="H70" s="697"/>
      <c r="I70" s="19"/>
      <c r="J70" s="19"/>
      <c r="K70" s="19"/>
      <c r="L70" s="19"/>
      <c r="M70" s="19"/>
      <c r="N70" s="19"/>
      <c r="O70" s="19"/>
      <c r="P70" s="19"/>
      <c r="Q70" s="17"/>
      <c r="R70" s="267" t="s">
        <v>152</v>
      </c>
      <c r="S70" s="22" t="s">
        <v>87</v>
      </c>
      <c r="T70" s="22" t="s">
        <v>841</v>
      </c>
      <c r="U70" s="244">
        <v>0.05</v>
      </c>
      <c r="V70" s="22" t="s">
        <v>99</v>
      </c>
      <c r="W70" s="23" t="s">
        <v>320</v>
      </c>
      <c r="X70" s="24"/>
      <c r="Y70" s="269"/>
      <c r="Z70" s="19"/>
      <c r="AA70" s="19"/>
      <c r="AB70" s="19"/>
      <c r="AC70" s="19"/>
      <c r="AD70" s="19"/>
      <c r="AE70" s="19"/>
      <c r="AF70" s="264" t="s">
        <v>1260</v>
      </c>
      <c r="AG70" s="722" t="s">
        <v>1213</v>
      </c>
      <c r="AH70" s="9" t="s">
        <v>74</v>
      </c>
      <c r="AI70" s="3">
        <v>0.76</v>
      </c>
      <c r="AJ70" s="3">
        <v>0.8</v>
      </c>
      <c r="AK70" s="3">
        <v>0.78</v>
      </c>
      <c r="AL70" s="4">
        <v>21.111111111111111</v>
      </c>
      <c r="AM70" s="4">
        <v>35</v>
      </c>
      <c r="AN70" s="9" t="s">
        <v>1198</v>
      </c>
      <c r="AO70" s="256"/>
      <c r="AP70" s="256" t="s">
        <v>1580</v>
      </c>
      <c r="AQ70" s="9"/>
      <c r="AR70" s="9"/>
      <c r="AS70" s="9"/>
      <c r="AT70" s="9"/>
      <c r="AU70" s="309"/>
      <c r="AV70" s="309"/>
      <c r="AW70" s="309"/>
      <c r="AX70" s="309"/>
      <c r="AY70" s="309"/>
      <c r="AZ70" s="309"/>
      <c r="BA70" s="309"/>
      <c r="BB70" s="309"/>
      <c r="BC70" s="309"/>
      <c r="BD70" s="331" t="s">
        <v>979</v>
      </c>
      <c r="BE70" s="339"/>
      <c r="BF70" s="339"/>
      <c r="BG70" s="340" t="e">
        <f t="shared" si="8"/>
        <v>#DIV/0!</v>
      </c>
      <c r="BH70" s="339"/>
      <c r="BI70" s="339"/>
      <c r="BJ70" s="340" t="e">
        <f t="shared" si="3"/>
        <v>#DIV/0!</v>
      </c>
      <c r="BK70" s="339"/>
      <c r="BL70" s="339"/>
      <c r="BM70" s="340" t="e">
        <f t="shared" si="4"/>
        <v>#DIV/0!</v>
      </c>
      <c r="BN70" s="339"/>
      <c r="BO70" s="339"/>
      <c r="BP70" s="340" t="e">
        <f t="shared" si="5"/>
        <v>#DIV/0!</v>
      </c>
      <c r="BQ70" s="339"/>
      <c r="BR70" s="339"/>
      <c r="BS70" s="340" t="e">
        <f t="shared" si="6"/>
        <v>#DIV/0!</v>
      </c>
      <c r="BT70" s="339"/>
      <c r="BU70" s="339"/>
      <c r="BV70" s="340" t="e">
        <f t="shared" si="7"/>
        <v>#DIV/0!</v>
      </c>
      <c r="BW70" s="1165"/>
      <c r="BX70" s="1166"/>
      <c r="BY70" s="342" t="str">
        <f t="shared" si="9"/>
        <v>NA</v>
      </c>
      <c r="BZ70" s="341" t="e">
        <f t="shared" si="10"/>
        <v>#DIV/0!</v>
      </c>
      <c r="CA70" s="341" t="e">
        <f t="shared" si="11"/>
        <v>#DIV/0!</v>
      </c>
      <c r="CB70" s="335"/>
      <c r="CC70" s="336"/>
      <c r="CD70" s="336"/>
      <c r="CE70" s="309"/>
      <c r="CH70" s="309"/>
    </row>
    <row r="71" spans="1:86" ht="45" customHeight="1">
      <c r="A71" s="471" t="s">
        <v>40</v>
      </c>
      <c r="B71" s="715">
        <v>0.6</v>
      </c>
      <c r="C71" s="715">
        <v>1000</v>
      </c>
      <c r="D71" s="715">
        <v>0.2</v>
      </c>
      <c r="E71" s="715">
        <v>4.71</v>
      </c>
      <c r="F71" s="715">
        <v>220</v>
      </c>
      <c r="G71" s="715"/>
      <c r="H71" s="697"/>
      <c r="I71" s="12"/>
      <c r="J71" s="17"/>
      <c r="K71" s="17"/>
      <c r="L71" s="17"/>
      <c r="M71" s="17"/>
      <c r="N71" s="17"/>
      <c r="O71" s="17"/>
      <c r="P71" s="17"/>
      <c r="Q71" s="17"/>
      <c r="R71" s="267" t="s">
        <v>153</v>
      </c>
      <c r="S71" s="22" t="s">
        <v>87</v>
      </c>
      <c r="T71" s="22" t="s">
        <v>841</v>
      </c>
      <c r="U71" s="244">
        <v>0.14000000000000001</v>
      </c>
      <c r="V71" s="22" t="s">
        <v>233</v>
      </c>
      <c r="W71" s="23" t="s">
        <v>377</v>
      </c>
      <c r="X71" s="23" t="s">
        <v>378</v>
      </c>
      <c r="Y71" s="269"/>
      <c r="Z71" s="19"/>
      <c r="AA71" s="19"/>
      <c r="AB71" s="19"/>
      <c r="AC71" s="19"/>
      <c r="AD71" s="19"/>
      <c r="AE71" s="19"/>
      <c r="AF71" s="264" t="s">
        <v>1261</v>
      </c>
      <c r="AG71" s="722" t="s">
        <v>1205</v>
      </c>
      <c r="AH71" s="9" t="s">
        <v>74</v>
      </c>
      <c r="AI71" s="3">
        <v>0.65</v>
      </c>
      <c r="AJ71" s="3">
        <v>0.75</v>
      </c>
      <c r="AK71" s="3">
        <v>0.7</v>
      </c>
      <c r="AL71" s="4">
        <v>20</v>
      </c>
      <c r="AM71" s="4">
        <v>23.888888888888889</v>
      </c>
      <c r="AN71" s="9" t="s">
        <v>1188</v>
      </c>
      <c r="AO71" s="256"/>
      <c r="AP71" s="256" t="s">
        <v>1581</v>
      </c>
      <c r="AQ71" s="9"/>
      <c r="AR71" s="9"/>
      <c r="AS71" s="9"/>
      <c r="AT71" s="9"/>
      <c r="AU71" s="309"/>
      <c r="AV71" s="309"/>
      <c r="AW71" s="309"/>
      <c r="AX71" s="309"/>
      <c r="AY71" s="309"/>
      <c r="AZ71" s="309"/>
      <c r="BA71" s="309"/>
      <c r="BB71" s="309"/>
      <c r="BC71" s="309"/>
      <c r="BD71" s="326" t="s">
        <v>980</v>
      </c>
      <c r="BE71" s="339"/>
      <c r="BF71" s="339"/>
      <c r="BG71" s="340" t="e">
        <f t="shared" si="8"/>
        <v>#DIV/0!</v>
      </c>
      <c r="BH71" s="339"/>
      <c r="BI71" s="339"/>
      <c r="BJ71" s="340" t="e">
        <f t="shared" si="3"/>
        <v>#DIV/0!</v>
      </c>
      <c r="BK71" s="339"/>
      <c r="BL71" s="339"/>
      <c r="BM71" s="340" t="e">
        <f t="shared" si="4"/>
        <v>#DIV/0!</v>
      </c>
      <c r="BN71" s="339"/>
      <c r="BO71" s="339"/>
      <c r="BP71" s="340" t="e">
        <f t="shared" si="5"/>
        <v>#DIV/0!</v>
      </c>
      <c r="BQ71" s="339"/>
      <c r="BR71" s="339"/>
      <c r="BS71" s="340" t="e">
        <f t="shared" si="6"/>
        <v>#DIV/0!</v>
      </c>
      <c r="BT71" s="339"/>
      <c r="BU71" s="339"/>
      <c r="BV71" s="340" t="e">
        <f t="shared" si="7"/>
        <v>#DIV/0!</v>
      </c>
      <c r="BW71" s="1165"/>
      <c r="BX71" s="1166"/>
      <c r="BY71" s="342" t="str">
        <f t="shared" si="9"/>
        <v>NA</v>
      </c>
      <c r="BZ71" s="341" t="e">
        <f t="shared" si="10"/>
        <v>#DIV/0!</v>
      </c>
      <c r="CA71" s="341" t="e">
        <f t="shared" si="11"/>
        <v>#DIV/0!</v>
      </c>
      <c r="CB71" s="335"/>
      <c r="CC71" s="336"/>
      <c r="CD71" s="336"/>
      <c r="CE71" s="309"/>
      <c r="CH71" s="309"/>
    </row>
    <row r="72" spans="1:86" ht="45" customHeight="1">
      <c r="A72" s="471" t="s">
        <v>18</v>
      </c>
      <c r="B72" s="715">
        <v>0.6</v>
      </c>
      <c r="C72" s="715">
        <v>650</v>
      </c>
      <c r="D72" s="715">
        <v>7.0000000000000007E-2</v>
      </c>
      <c r="E72" s="715">
        <v>4.71</v>
      </c>
      <c r="F72" s="715">
        <v>220</v>
      </c>
      <c r="G72" s="715"/>
      <c r="H72" s="696"/>
      <c r="I72" s="19"/>
      <c r="J72" s="19"/>
      <c r="K72" s="19"/>
      <c r="L72" s="19"/>
      <c r="M72" s="19"/>
      <c r="N72" s="19"/>
      <c r="O72" s="19"/>
      <c r="P72" s="622"/>
      <c r="Q72" s="17"/>
      <c r="R72" s="267" t="s">
        <v>154</v>
      </c>
      <c r="S72" s="22" t="s">
        <v>87</v>
      </c>
      <c r="T72" s="22" t="s">
        <v>841</v>
      </c>
      <c r="U72" s="244">
        <v>0.16</v>
      </c>
      <c r="V72" s="22" t="s">
        <v>233</v>
      </c>
      <c r="W72" s="23" t="s">
        <v>379</v>
      </c>
      <c r="X72" s="23" t="s">
        <v>380</v>
      </c>
      <c r="Y72" s="268" t="s">
        <v>381</v>
      </c>
      <c r="Z72" s="19"/>
      <c r="AA72" s="19"/>
      <c r="AB72" s="19"/>
      <c r="AC72" s="19"/>
      <c r="AD72" s="19"/>
      <c r="AE72" s="19"/>
      <c r="AF72" s="264" t="s">
        <v>1262</v>
      </c>
      <c r="AG72" s="722" t="s">
        <v>1208</v>
      </c>
      <c r="AH72" s="9" t="s">
        <v>74</v>
      </c>
      <c r="AI72" s="3">
        <v>0.74</v>
      </c>
      <c r="AJ72" s="3">
        <v>0.79</v>
      </c>
      <c r="AK72" s="3">
        <v>0.76500000000000001</v>
      </c>
      <c r="AL72" s="4">
        <v>21.111111111111111</v>
      </c>
      <c r="AM72" s="4">
        <v>28.888888888888889</v>
      </c>
      <c r="AN72" s="9" t="s">
        <v>1188</v>
      </c>
      <c r="AO72" s="256"/>
      <c r="AP72" s="256" t="s">
        <v>1582</v>
      </c>
      <c r="AQ72" s="9"/>
      <c r="AR72" s="9"/>
      <c r="AS72" s="9"/>
      <c r="AT72" s="9"/>
      <c r="AU72" s="309"/>
      <c r="AV72" s="309"/>
      <c r="AW72" s="309"/>
      <c r="AX72" s="309"/>
      <c r="AY72" s="309"/>
      <c r="AZ72" s="309"/>
      <c r="BA72" s="309"/>
      <c r="BB72" s="309"/>
      <c r="BC72" s="309"/>
      <c r="BD72" s="331" t="s">
        <v>981</v>
      </c>
      <c r="BE72" s="339"/>
      <c r="BF72" s="339"/>
      <c r="BG72" s="340" t="e">
        <f t="shared" si="8"/>
        <v>#DIV/0!</v>
      </c>
      <c r="BH72" s="339"/>
      <c r="BI72" s="339"/>
      <c r="BJ72" s="340" t="e">
        <f t="shared" si="3"/>
        <v>#DIV/0!</v>
      </c>
      <c r="BK72" s="339"/>
      <c r="BL72" s="339"/>
      <c r="BM72" s="340" t="e">
        <f t="shared" si="4"/>
        <v>#DIV/0!</v>
      </c>
      <c r="BN72" s="339"/>
      <c r="BO72" s="339"/>
      <c r="BP72" s="340" t="e">
        <f t="shared" si="5"/>
        <v>#DIV/0!</v>
      </c>
      <c r="BQ72" s="339"/>
      <c r="BR72" s="339"/>
      <c r="BS72" s="340" t="e">
        <f t="shared" si="6"/>
        <v>#DIV/0!</v>
      </c>
      <c r="BT72" s="339"/>
      <c r="BU72" s="339"/>
      <c r="BV72" s="340" t="e">
        <f t="shared" si="7"/>
        <v>#DIV/0!</v>
      </c>
      <c r="BW72" s="1165"/>
      <c r="BX72" s="1166"/>
      <c r="BY72" s="342" t="str">
        <f t="shared" si="9"/>
        <v>NA</v>
      </c>
      <c r="BZ72" s="341" t="e">
        <f t="shared" si="10"/>
        <v>#DIV/0!</v>
      </c>
      <c r="CA72" s="341" t="e">
        <f t="shared" si="11"/>
        <v>#DIV/0!</v>
      </c>
      <c r="CB72" s="335"/>
      <c r="CC72" s="336"/>
      <c r="CD72" s="336"/>
      <c r="CE72" s="309"/>
      <c r="CH72" s="309"/>
    </row>
    <row r="73" spans="1:86" ht="45" customHeight="1">
      <c r="A73" s="706" t="s">
        <v>2536</v>
      </c>
      <c r="B73" s="709"/>
      <c r="C73" s="707"/>
      <c r="D73" s="707"/>
      <c r="E73" s="707"/>
      <c r="F73" s="707"/>
      <c r="G73" s="708"/>
      <c r="H73" s="697"/>
      <c r="I73" s="736"/>
      <c r="J73" s="19"/>
      <c r="K73" s="19"/>
      <c r="L73" s="19"/>
      <c r="M73" s="19"/>
      <c r="N73" s="19"/>
      <c r="O73" s="19"/>
      <c r="P73" s="622"/>
      <c r="Q73" s="17"/>
      <c r="R73" s="267" t="s">
        <v>155</v>
      </c>
      <c r="S73" s="22" t="s">
        <v>87</v>
      </c>
      <c r="T73" s="22" t="s">
        <v>841</v>
      </c>
      <c r="U73" s="244">
        <v>7.0000000000000007E-2</v>
      </c>
      <c r="V73" s="22" t="s">
        <v>121</v>
      </c>
      <c r="W73" s="23" t="s">
        <v>382</v>
      </c>
      <c r="X73" s="23" t="s">
        <v>383</v>
      </c>
      <c r="Y73" s="268" t="s">
        <v>384</v>
      </c>
      <c r="Z73" s="19"/>
      <c r="AA73" s="19"/>
      <c r="AB73" s="19"/>
      <c r="AC73" s="19"/>
      <c r="AD73" s="19"/>
      <c r="AE73" s="19"/>
      <c r="AF73" s="264" t="s">
        <v>1263</v>
      </c>
      <c r="AG73" s="722" t="s">
        <v>1205</v>
      </c>
      <c r="AH73" s="9" t="s">
        <v>74</v>
      </c>
      <c r="AI73" s="3"/>
      <c r="AJ73" s="3"/>
      <c r="AK73" s="3">
        <v>0.81499999999999995</v>
      </c>
      <c r="AL73" s="4">
        <v>20</v>
      </c>
      <c r="AM73" s="4">
        <v>25.555555555555557</v>
      </c>
      <c r="AN73" s="9" t="s">
        <v>1188</v>
      </c>
      <c r="AO73" s="256"/>
      <c r="AP73" s="256" t="s">
        <v>1583</v>
      </c>
      <c r="AQ73" s="9"/>
      <c r="AR73" s="9"/>
      <c r="AS73" s="9"/>
      <c r="AT73" s="9"/>
      <c r="AU73" s="309"/>
      <c r="AV73" s="309"/>
      <c r="AW73" s="309"/>
      <c r="AX73" s="309"/>
      <c r="AY73" s="309"/>
      <c r="AZ73" s="309"/>
      <c r="BA73" s="309"/>
      <c r="BB73" s="309"/>
      <c r="BC73" s="309"/>
      <c r="BD73" s="331" t="s">
        <v>982</v>
      </c>
      <c r="BE73" s="339"/>
      <c r="BF73" s="339"/>
      <c r="BG73" s="340" t="e">
        <f t="shared" si="8"/>
        <v>#DIV/0!</v>
      </c>
      <c r="BH73" s="339"/>
      <c r="BI73" s="339"/>
      <c r="BJ73" s="340" t="e">
        <f t="shared" si="3"/>
        <v>#DIV/0!</v>
      </c>
      <c r="BK73" s="339"/>
      <c r="BL73" s="339"/>
      <c r="BM73" s="340" t="e">
        <f t="shared" si="4"/>
        <v>#DIV/0!</v>
      </c>
      <c r="BN73" s="339"/>
      <c r="BO73" s="339"/>
      <c r="BP73" s="340" t="e">
        <f t="shared" si="5"/>
        <v>#DIV/0!</v>
      </c>
      <c r="BQ73" s="339"/>
      <c r="BR73" s="339"/>
      <c r="BS73" s="340" t="e">
        <f t="shared" si="6"/>
        <v>#DIV/0!</v>
      </c>
      <c r="BT73" s="339"/>
      <c r="BU73" s="339"/>
      <c r="BV73" s="340" t="e">
        <f t="shared" si="7"/>
        <v>#DIV/0!</v>
      </c>
      <c r="BW73" s="1165"/>
      <c r="BX73" s="1166"/>
      <c r="BY73" s="342" t="str">
        <f t="shared" si="9"/>
        <v>NA</v>
      </c>
      <c r="BZ73" s="341" t="e">
        <f t="shared" si="10"/>
        <v>#DIV/0!</v>
      </c>
      <c r="CA73" s="341" t="e">
        <f t="shared" si="11"/>
        <v>#DIV/0!</v>
      </c>
      <c r="CB73" s="335"/>
      <c r="CC73" s="336"/>
      <c r="CD73" s="336"/>
      <c r="CE73" s="309"/>
      <c r="CH73" s="309"/>
    </row>
    <row r="74" spans="1:86" ht="45" customHeight="1">
      <c r="A74" s="471" t="s">
        <v>30</v>
      </c>
      <c r="B74" s="715">
        <v>0.6</v>
      </c>
      <c r="C74" s="715">
        <v>500</v>
      </c>
      <c r="D74" s="715">
        <v>0.1</v>
      </c>
      <c r="E74" s="715">
        <v>4.71</v>
      </c>
      <c r="F74" s="715">
        <v>220</v>
      </c>
      <c r="G74" s="715"/>
      <c r="H74" s="697"/>
      <c r="I74" s="736"/>
      <c r="J74" s="19"/>
      <c r="K74" s="19"/>
      <c r="L74" s="19"/>
      <c r="M74" s="19"/>
      <c r="N74" s="19"/>
      <c r="O74" s="19"/>
      <c r="P74" s="622"/>
      <c r="Q74" s="17"/>
      <c r="R74" s="267" t="s">
        <v>1887</v>
      </c>
      <c r="S74" s="22" t="s">
        <v>85</v>
      </c>
      <c r="T74" s="22" t="s">
        <v>841</v>
      </c>
      <c r="U74" s="244">
        <v>0.12</v>
      </c>
      <c r="V74" s="22" t="s">
        <v>233</v>
      </c>
      <c r="W74" s="23" t="s">
        <v>1889</v>
      </c>
      <c r="X74" s="23" t="s">
        <v>1888</v>
      </c>
      <c r="Y74" s="268" t="s">
        <v>1890</v>
      </c>
      <c r="AA74" s="19"/>
      <c r="AB74" s="19"/>
      <c r="AC74" s="19"/>
      <c r="AD74" s="19"/>
      <c r="AE74" s="19"/>
      <c r="AF74" s="264" t="s">
        <v>1264</v>
      </c>
      <c r="AG74" s="722" t="s">
        <v>1205</v>
      </c>
      <c r="AH74" s="9" t="s">
        <v>74</v>
      </c>
      <c r="AI74" s="3"/>
      <c r="AJ74" s="3"/>
      <c r="AK74" s="3"/>
      <c r="AL74" s="4">
        <v>20</v>
      </c>
      <c r="AM74" s="4">
        <v>23.888888888888889</v>
      </c>
      <c r="AN74" s="9" t="s">
        <v>1190</v>
      </c>
      <c r="AO74" s="256"/>
      <c r="AP74" s="256" t="s">
        <v>1584</v>
      </c>
      <c r="AQ74" s="9"/>
      <c r="AR74" s="9"/>
      <c r="AS74" s="9"/>
      <c r="AT74" s="9"/>
      <c r="AU74" s="309"/>
      <c r="AV74" s="309"/>
      <c r="AW74" s="309"/>
      <c r="AX74" s="309"/>
      <c r="AY74" s="309"/>
      <c r="AZ74" s="309"/>
      <c r="BA74" s="309"/>
      <c r="BB74" s="309"/>
      <c r="BC74" s="309"/>
      <c r="BD74" s="331" t="s">
        <v>983</v>
      </c>
      <c r="BE74" s="339"/>
      <c r="BF74" s="339"/>
      <c r="BG74" s="340" t="e">
        <f t="shared" si="8"/>
        <v>#DIV/0!</v>
      </c>
      <c r="BH74" s="339"/>
      <c r="BI74" s="339"/>
      <c r="BJ74" s="340" t="e">
        <f t="shared" si="3"/>
        <v>#DIV/0!</v>
      </c>
      <c r="BK74" s="339"/>
      <c r="BL74" s="339"/>
      <c r="BM74" s="340" t="e">
        <f t="shared" si="4"/>
        <v>#DIV/0!</v>
      </c>
      <c r="BN74" s="339"/>
      <c r="BO74" s="339"/>
      <c r="BP74" s="340" t="e">
        <f t="shared" si="5"/>
        <v>#DIV/0!</v>
      </c>
      <c r="BQ74" s="339"/>
      <c r="BR74" s="339"/>
      <c r="BS74" s="340" t="e">
        <f t="shared" si="6"/>
        <v>#DIV/0!</v>
      </c>
      <c r="BT74" s="339"/>
      <c r="BU74" s="339"/>
      <c r="BV74" s="340" t="e">
        <f t="shared" si="7"/>
        <v>#DIV/0!</v>
      </c>
      <c r="BW74" s="1165"/>
      <c r="BX74" s="1166"/>
      <c r="BY74" s="342" t="str">
        <f t="shared" si="9"/>
        <v>NA</v>
      </c>
      <c r="BZ74" s="341" t="e">
        <f t="shared" si="10"/>
        <v>#DIV/0!</v>
      </c>
      <c r="CA74" s="341" t="e">
        <f t="shared" si="11"/>
        <v>#DIV/0!</v>
      </c>
      <c r="CB74" s="335"/>
      <c r="CC74" s="336"/>
      <c r="CD74" s="336"/>
      <c r="CE74" s="309"/>
      <c r="CH74" s="309"/>
    </row>
    <row r="75" spans="1:86" ht="45" customHeight="1">
      <c r="A75" s="471" t="s">
        <v>14</v>
      </c>
      <c r="B75" s="715">
        <v>0.6</v>
      </c>
      <c r="C75" s="715">
        <v>250</v>
      </c>
      <c r="D75" s="715">
        <v>0.1</v>
      </c>
      <c r="E75" s="715">
        <v>4.71</v>
      </c>
      <c r="F75" s="715">
        <v>230</v>
      </c>
      <c r="G75" s="717"/>
      <c r="H75" s="697"/>
      <c r="I75" s="736"/>
      <c r="J75" s="19"/>
      <c r="K75" s="19"/>
      <c r="L75" s="19"/>
      <c r="M75" s="19"/>
      <c r="N75" s="19"/>
      <c r="O75" s="19"/>
      <c r="P75" s="375"/>
      <c r="R75" s="267" t="s">
        <v>156</v>
      </c>
      <c r="S75" s="22" t="s">
        <v>85</v>
      </c>
      <c r="T75" s="22" t="s">
        <v>841</v>
      </c>
      <c r="U75" s="244">
        <v>0.05</v>
      </c>
      <c r="V75" s="22" t="s">
        <v>233</v>
      </c>
      <c r="W75" s="23" t="s">
        <v>385</v>
      </c>
      <c r="X75" s="23" t="s">
        <v>386</v>
      </c>
      <c r="Y75" s="268" t="s">
        <v>387</v>
      </c>
      <c r="Z75" s="19"/>
      <c r="AA75" s="19"/>
      <c r="AB75" s="19"/>
      <c r="AC75" s="19"/>
      <c r="AD75" s="19"/>
      <c r="AE75" s="19"/>
      <c r="AF75" s="264" t="s">
        <v>1265</v>
      </c>
      <c r="AG75" s="722" t="s">
        <v>1213</v>
      </c>
      <c r="AH75" s="9" t="s">
        <v>74</v>
      </c>
      <c r="AI75" s="3">
        <v>0.73</v>
      </c>
      <c r="AJ75" s="3">
        <v>0.77</v>
      </c>
      <c r="AK75" s="3">
        <v>0.75</v>
      </c>
      <c r="AL75" s="4">
        <v>16.666666666666668</v>
      </c>
      <c r="AM75" s="4">
        <v>23.333333333333332</v>
      </c>
      <c r="AN75" s="9" t="s">
        <v>1188</v>
      </c>
      <c r="AO75" s="256"/>
      <c r="AP75" s="256" t="s">
        <v>1585</v>
      </c>
      <c r="AQ75" s="9"/>
      <c r="AR75" s="9"/>
      <c r="AS75" s="9"/>
      <c r="AT75" s="9"/>
      <c r="AU75" s="309"/>
      <c r="AV75" s="309"/>
      <c r="AW75" s="309"/>
      <c r="AX75" s="309"/>
      <c r="AY75" s="309"/>
      <c r="AZ75" s="309"/>
      <c r="BA75" s="309"/>
      <c r="BB75" s="309"/>
      <c r="BC75" s="309"/>
      <c r="BD75" s="331" t="s">
        <v>984</v>
      </c>
      <c r="BE75" s="339"/>
      <c r="BF75" s="339"/>
      <c r="BG75" s="340" t="e">
        <f t="shared" ref="BG75:BG101" si="12">AVERAGE(BE75:BF75)</f>
        <v>#DIV/0!</v>
      </c>
      <c r="BH75" s="339"/>
      <c r="BI75" s="339"/>
      <c r="BJ75" s="340" t="e">
        <f t="shared" ref="BJ75:BJ101" si="13">AVERAGE(BH75:BI75)</f>
        <v>#DIV/0!</v>
      </c>
      <c r="BK75" s="339"/>
      <c r="BL75" s="339"/>
      <c r="BM75" s="340" t="e">
        <f t="shared" ref="BM75:BM101" si="14">AVERAGE(BK75:BL75)</f>
        <v>#DIV/0!</v>
      </c>
      <c r="BN75" s="339"/>
      <c r="BO75" s="339"/>
      <c r="BP75" s="340" t="e">
        <f t="shared" ref="BP75:BP101" si="15">AVERAGE(BN75:BO75)</f>
        <v>#DIV/0!</v>
      </c>
      <c r="BQ75" s="339"/>
      <c r="BR75" s="339"/>
      <c r="BS75" s="340" t="e">
        <f t="shared" ref="BS75:BS101" si="16">AVERAGE(BQ75:BR75)</f>
        <v>#DIV/0!</v>
      </c>
      <c r="BT75" s="339"/>
      <c r="BU75" s="339"/>
      <c r="BV75" s="340" t="e">
        <f t="shared" ref="BV75:BV101" si="17">AVERAGE(BT75:BU75)</f>
        <v>#DIV/0!</v>
      </c>
      <c r="BW75" s="1165"/>
      <c r="BX75" s="1166"/>
      <c r="BY75" s="342" t="str">
        <f t="shared" si="9"/>
        <v>NA</v>
      </c>
      <c r="BZ75" s="341" t="e">
        <f t="shared" si="10"/>
        <v>#DIV/0!</v>
      </c>
      <c r="CA75" s="341" t="e">
        <f t="shared" si="11"/>
        <v>#DIV/0!</v>
      </c>
      <c r="CB75" s="335"/>
      <c r="CC75" s="336"/>
      <c r="CD75" s="336"/>
      <c r="CE75" s="309"/>
      <c r="CH75" s="309"/>
    </row>
    <row r="76" spans="1:86" ht="45" customHeight="1">
      <c r="A76" s="703" t="s">
        <v>2452</v>
      </c>
      <c r="B76" s="711"/>
      <c r="C76" s="704"/>
      <c r="D76" s="704"/>
      <c r="E76" s="704"/>
      <c r="F76" s="704"/>
      <c r="G76" s="712"/>
      <c r="H76" s="696"/>
      <c r="I76" s="736"/>
      <c r="J76" s="19"/>
      <c r="K76" s="19"/>
      <c r="L76" s="19"/>
      <c r="M76" s="19"/>
      <c r="N76" s="19"/>
      <c r="O76" s="19"/>
      <c r="P76" s="622"/>
      <c r="R76" s="267" t="s">
        <v>157</v>
      </c>
      <c r="S76" s="22" t="s">
        <v>87</v>
      </c>
      <c r="T76" s="22" t="s">
        <v>841</v>
      </c>
      <c r="U76" s="244">
        <v>0.12</v>
      </c>
      <c r="V76" s="22" t="s">
        <v>233</v>
      </c>
      <c r="W76" s="24" t="s">
        <v>388</v>
      </c>
      <c r="X76" s="23" t="s">
        <v>389</v>
      </c>
      <c r="Y76" s="269"/>
      <c r="Z76" s="19"/>
      <c r="AA76" s="19"/>
      <c r="AB76" s="19"/>
      <c r="AC76" s="19"/>
      <c r="AD76" s="19"/>
      <c r="AE76" s="19"/>
      <c r="AF76" s="264" t="s">
        <v>1266</v>
      </c>
      <c r="AG76" s="722" t="s">
        <v>1205</v>
      </c>
      <c r="AH76" s="9" t="s">
        <v>74</v>
      </c>
      <c r="AI76" s="3">
        <v>0.7</v>
      </c>
      <c r="AJ76" s="3">
        <v>8.0000000000000002E-3</v>
      </c>
      <c r="AK76" s="3">
        <v>0.75</v>
      </c>
      <c r="AL76" s="4">
        <v>26.666666666666668</v>
      </c>
      <c r="AM76" s="4">
        <v>29.444444444444443</v>
      </c>
      <c r="AN76" s="9" t="s">
        <v>1190</v>
      </c>
      <c r="AO76" s="256"/>
      <c r="AP76" s="256" t="s">
        <v>1586</v>
      </c>
      <c r="AQ76" s="9"/>
      <c r="AR76" s="9"/>
      <c r="AS76" s="9"/>
      <c r="AT76" s="9"/>
      <c r="AU76" s="309"/>
      <c r="AV76" s="309"/>
      <c r="AW76" s="309"/>
      <c r="AX76" s="309"/>
      <c r="AY76" s="309"/>
      <c r="AZ76" s="309"/>
      <c r="BA76" s="309"/>
      <c r="BB76" s="309"/>
      <c r="BC76" s="309"/>
      <c r="BD76" s="326" t="s">
        <v>985</v>
      </c>
      <c r="BE76" s="339"/>
      <c r="BF76" s="339"/>
      <c r="BG76" s="340" t="e">
        <f t="shared" si="12"/>
        <v>#DIV/0!</v>
      </c>
      <c r="BH76" s="339"/>
      <c r="BI76" s="339"/>
      <c r="BJ76" s="340" t="e">
        <f t="shared" si="13"/>
        <v>#DIV/0!</v>
      </c>
      <c r="BK76" s="339"/>
      <c r="BL76" s="339"/>
      <c r="BM76" s="340" t="e">
        <f t="shared" si="14"/>
        <v>#DIV/0!</v>
      </c>
      <c r="BN76" s="339"/>
      <c r="BO76" s="339"/>
      <c r="BP76" s="340" t="e">
        <f t="shared" si="15"/>
        <v>#DIV/0!</v>
      </c>
      <c r="BQ76" s="339"/>
      <c r="BR76" s="339"/>
      <c r="BS76" s="340" t="e">
        <f t="shared" si="16"/>
        <v>#DIV/0!</v>
      </c>
      <c r="BT76" s="339"/>
      <c r="BU76" s="339"/>
      <c r="BV76" s="340" t="e">
        <f t="shared" si="17"/>
        <v>#DIV/0!</v>
      </c>
      <c r="BW76" s="1165"/>
      <c r="BX76" s="1166"/>
      <c r="BY76" s="342" t="str">
        <f t="shared" si="9"/>
        <v>NA</v>
      </c>
      <c r="BZ76" s="341" t="e">
        <f t="shared" si="10"/>
        <v>#DIV/0!</v>
      </c>
      <c r="CA76" s="341" t="e">
        <f t="shared" si="11"/>
        <v>#DIV/0!</v>
      </c>
      <c r="CB76" s="335"/>
      <c r="CC76" s="336"/>
      <c r="CD76" s="336"/>
      <c r="CE76" s="309"/>
      <c r="CH76" s="309"/>
    </row>
    <row r="77" spans="1:86" ht="45" customHeight="1">
      <c r="A77" s="471" t="s">
        <v>26</v>
      </c>
      <c r="B77" s="715">
        <v>0.7</v>
      </c>
      <c r="C77" s="715">
        <v>5</v>
      </c>
      <c r="D77" s="715">
        <v>0.25</v>
      </c>
      <c r="E77" s="715">
        <v>5.2</v>
      </c>
      <c r="F77" s="715">
        <v>270</v>
      </c>
      <c r="G77" s="717" t="s">
        <v>2453</v>
      </c>
      <c r="H77" s="697"/>
      <c r="I77" s="736"/>
      <c r="J77" s="19"/>
      <c r="K77" s="19"/>
      <c r="L77" s="19"/>
      <c r="M77" s="19"/>
      <c r="N77" s="19"/>
      <c r="O77" s="19"/>
      <c r="P77" s="622"/>
      <c r="R77" s="267" t="s">
        <v>835</v>
      </c>
      <c r="S77" s="22" t="s">
        <v>85</v>
      </c>
      <c r="T77" s="22" t="s">
        <v>841</v>
      </c>
      <c r="U77" s="244">
        <v>0.152</v>
      </c>
      <c r="V77" s="22" t="s">
        <v>233</v>
      </c>
      <c r="W77" s="23" t="s">
        <v>836</v>
      </c>
      <c r="X77" s="23" t="s">
        <v>854</v>
      </c>
      <c r="Y77" s="268" t="s">
        <v>9</v>
      </c>
      <c r="Z77" s="19"/>
      <c r="AA77" s="19"/>
      <c r="AB77" s="19"/>
      <c r="AC77" s="19"/>
      <c r="AD77" s="19"/>
      <c r="AE77" s="19"/>
      <c r="AF77" s="264" t="s">
        <v>1267</v>
      </c>
      <c r="AG77" s="722" t="s">
        <v>1213</v>
      </c>
      <c r="AH77" s="9" t="s">
        <v>74</v>
      </c>
      <c r="AI77" s="3">
        <v>0.7</v>
      </c>
      <c r="AJ77" s="3">
        <v>0.85</v>
      </c>
      <c r="AK77" s="3">
        <v>0.77500000000000002</v>
      </c>
      <c r="AL77" s="4">
        <v>18.333333333333332</v>
      </c>
      <c r="AM77" s="4">
        <v>23.888888888888889</v>
      </c>
      <c r="AN77" s="9" t="s">
        <v>1188</v>
      </c>
      <c r="AO77" s="256"/>
      <c r="AP77" s="256" t="s">
        <v>1587</v>
      </c>
      <c r="AQ77" s="9"/>
      <c r="AR77" s="9"/>
      <c r="AS77" s="9"/>
      <c r="AT77" s="9"/>
      <c r="AU77" s="309"/>
      <c r="AV77" s="309"/>
      <c r="AW77" s="309"/>
      <c r="AX77" s="309"/>
      <c r="AY77" s="309"/>
      <c r="AZ77" s="309"/>
      <c r="BA77" s="309"/>
      <c r="BB77" s="309"/>
      <c r="BC77" s="309"/>
      <c r="BD77" s="331" t="s">
        <v>986</v>
      </c>
      <c r="BE77" s="339"/>
      <c r="BF77" s="339"/>
      <c r="BG77" s="340" t="e">
        <f t="shared" si="12"/>
        <v>#DIV/0!</v>
      </c>
      <c r="BH77" s="339"/>
      <c r="BI77" s="339"/>
      <c r="BJ77" s="340" t="e">
        <f t="shared" si="13"/>
        <v>#DIV/0!</v>
      </c>
      <c r="BK77" s="339"/>
      <c r="BL77" s="339"/>
      <c r="BM77" s="340" t="e">
        <f t="shared" si="14"/>
        <v>#DIV/0!</v>
      </c>
      <c r="BN77" s="339"/>
      <c r="BO77" s="339"/>
      <c r="BP77" s="340" t="e">
        <f t="shared" si="15"/>
        <v>#DIV/0!</v>
      </c>
      <c r="BQ77" s="339"/>
      <c r="BR77" s="339"/>
      <c r="BS77" s="340" t="e">
        <f t="shared" si="16"/>
        <v>#DIV/0!</v>
      </c>
      <c r="BT77" s="339"/>
      <c r="BU77" s="339"/>
      <c r="BV77" s="340" t="e">
        <f t="shared" si="17"/>
        <v>#DIV/0!</v>
      </c>
      <c r="BW77" s="1165"/>
      <c r="BX77" s="1166"/>
      <c r="BY77" s="342" t="str">
        <f t="shared" si="9"/>
        <v>NA</v>
      </c>
      <c r="BZ77" s="341" t="e">
        <f t="shared" si="10"/>
        <v>#DIV/0!</v>
      </c>
      <c r="CA77" s="341" t="e">
        <f t="shared" si="11"/>
        <v>#DIV/0!</v>
      </c>
      <c r="CB77" s="335"/>
      <c r="CC77" s="336"/>
      <c r="CD77" s="336"/>
      <c r="CE77" s="309"/>
      <c r="CH77" s="309"/>
    </row>
    <row r="78" spans="1:86" ht="45" customHeight="1">
      <c r="A78" s="471" t="s">
        <v>29</v>
      </c>
      <c r="B78" s="715">
        <v>0.77</v>
      </c>
      <c r="C78" s="715">
        <v>5</v>
      </c>
      <c r="D78" s="715">
        <v>0.25</v>
      </c>
      <c r="E78" s="715">
        <v>5.2</v>
      </c>
      <c r="F78" s="715">
        <v>270</v>
      </c>
      <c r="G78" s="717" t="s">
        <v>2453</v>
      </c>
      <c r="H78" s="697"/>
      <c r="I78" s="736"/>
      <c r="J78" s="19"/>
      <c r="K78" s="19"/>
      <c r="L78" s="19"/>
      <c r="M78" s="19"/>
      <c r="N78" s="19"/>
      <c r="O78" s="19"/>
      <c r="P78" s="375"/>
      <c r="R78" s="267" t="s">
        <v>158</v>
      </c>
      <c r="S78" s="22" t="s">
        <v>85</v>
      </c>
      <c r="T78" s="22" t="s">
        <v>841</v>
      </c>
      <c r="U78" s="244">
        <v>0.04</v>
      </c>
      <c r="V78" s="22" t="s">
        <v>390</v>
      </c>
      <c r="W78" s="24" t="s">
        <v>159</v>
      </c>
      <c r="X78" s="23" t="s">
        <v>391</v>
      </c>
      <c r="Y78" s="268" t="s">
        <v>392</v>
      </c>
      <c r="Z78" s="19"/>
      <c r="AA78" s="19"/>
      <c r="AB78" s="19"/>
      <c r="AC78" s="19"/>
      <c r="AD78" s="19"/>
      <c r="AE78" s="19"/>
      <c r="AF78" s="264" t="s">
        <v>1268</v>
      </c>
      <c r="AG78" s="722" t="s">
        <v>1213</v>
      </c>
      <c r="AH78" s="9" t="s">
        <v>74</v>
      </c>
      <c r="AI78" s="3">
        <v>0.74</v>
      </c>
      <c r="AJ78" s="3">
        <v>0.78</v>
      </c>
      <c r="AK78" s="3">
        <v>0.76</v>
      </c>
      <c r="AL78" s="4">
        <v>17.777777777777779</v>
      </c>
      <c r="AM78" s="4">
        <v>26.666666666666668</v>
      </c>
      <c r="AN78" s="9" t="s">
        <v>1198</v>
      </c>
      <c r="AO78" s="256"/>
      <c r="AP78" s="256" t="s">
        <v>1588</v>
      </c>
      <c r="AQ78" s="9"/>
      <c r="AR78" s="9"/>
      <c r="AS78" s="9"/>
      <c r="AT78" s="9"/>
      <c r="AU78" s="309"/>
      <c r="AV78" s="309"/>
      <c r="AW78" s="309"/>
      <c r="AX78" s="309"/>
      <c r="AY78" s="309"/>
      <c r="AZ78" s="309"/>
      <c r="BA78" s="309"/>
      <c r="BB78" s="309"/>
      <c r="BC78" s="309"/>
      <c r="BD78" s="331" t="s">
        <v>987</v>
      </c>
      <c r="BE78" s="339"/>
      <c r="BF78" s="339"/>
      <c r="BG78" s="340" t="e">
        <f t="shared" si="12"/>
        <v>#DIV/0!</v>
      </c>
      <c r="BH78" s="339"/>
      <c r="BI78" s="339"/>
      <c r="BJ78" s="340" t="e">
        <f t="shared" si="13"/>
        <v>#DIV/0!</v>
      </c>
      <c r="BK78" s="339"/>
      <c r="BL78" s="339"/>
      <c r="BM78" s="340" t="e">
        <f t="shared" si="14"/>
        <v>#DIV/0!</v>
      </c>
      <c r="BN78" s="339"/>
      <c r="BO78" s="339"/>
      <c r="BP78" s="340" t="e">
        <f t="shared" si="15"/>
        <v>#DIV/0!</v>
      </c>
      <c r="BQ78" s="339"/>
      <c r="BR78" s="339"/>
      <c r="BS78" s="340" t="e">
        <f t="shared" si="16"/>
        <v>#DIV/0!</v>
      </c>
      <c r="BT78" s="339"/>
      <c r="BU78" s="339"/>
      <c r="BV78" s="340" t="e">
        <f t="shared" si="17"/>
        <v>#DIV/0!</v>
      </c>
      <c r="BW78" s="1165"/>
      <c r="BX78" s="1166"/>
      <c r="BY78" s="342" t="str">
        <f t="shared" si="9"/>
        <v>NA</v>
      </c>
      <c r="BZ78" s="341" t="e">
        <f t="shared" si="10"/>
        <v>#DIV/0!</v>
      </c>
      <c r="CA78" s="341" t="e">
        <f t="shared" si="11"/>
        <v>#DIV/0!</v>
      </c>
      <c r="CB78" s="335"/>
      <c r="CC78" s="336"/>
      <c r="CD78" s="336"/>
      <c r="CE78" s="309"/>
      <c r="CH78" s="309"/>
    </row>
    <row r="79" spans="1:86" ht="45" customHeight="1">
      <c r="A79" s="471" t="s">
        <v>44</v>
      </c>
      <c r="B79" s="715">
        <v>0.84</v>
      </c>
      <c r="C79" s="715">
        <v>5</v>
      </c>
      <c r="D79" s="715">
        <v>0.25</v>
      </c>
      <c r="E79" s="715">
        <v>5.7</v>
      </c>
      <c r="F79" s="715">
        <v>300</v>
      </c>
      <c r="G79" s="717" t="s">
        <v>2454</v>
      </c>
      <c r="H79" s="696"/>
      <c r="I79" s="736"/>
      <c r="J79" s="19"/>
      <c r="K79" s="19"/>
      <c r="L79" s="19"/>
      <c r="M79" s="19"/>
      <c r="N79" s="19"/>
      <c r="O79" s="19"/>
      <c r="P79" s="19"/>
      <c r="R79" s="267" t="s">
        <v>1891</v>
      </c>
      <c r="S79" s="22" t="s">
        <v>85</v>
      </c>
      <c r="T79" s="22" t="s">
        <v>841</v>
      </c>
      <c r="U79" s="244">
        <v>0.11</v>
      </c>
      <c r="V79" s="22" t="s">
        <v>233</v>
      </c>
      <c r="W79" s="23" t="s">
        <v>1892</v>
      </c>
      <c r="X79" s="23" t="s">
        <v>1893</v>
      </c>
      <c r="Y79" s="268" t="s">
        <v>1902</v>
      </c>
      <c r="AA79" s="19"/>
      <c r="AB79" s="19"/>
      <c r="AC79" s="19"/>
      <c r="AD79" s="19"/>
      <c r="AE79" s="19"/>
      <c r="AF79" s="264" t="s">
        <v>1269</v>
      </c>
      <c r="AG79" s="722" t="s">
        <v>1205</v>
      </c>
      <c r="AH79" s="9" t="s">
        <v>74</v>
      </c>
      <c r="AI79" s="3"/>
      <c r="AJ79" s="3"/>
      <c r="AK79" s="3">
        <v>0.81499999999999995</v>
      </c>
      <c r="AL79" s="4">
        <v>18.888888888888889</v>
      </c>
      <c r="AM79" s="4">
        <v>22.222222222222221</v>
      </c>
      <c r="AN79" s="9" t="s">
        <v>1188</v>
      </c>
      <c r="AO79" s="256"/>
      <c r="AP79" s="256" t="s">
        <v>1589</v>
      </c>
      <c r="AQ79" s="9"/>
      <c r="AR79" s="9"/>
      <c r="AS79" s="9"/>
      <c r="AT79" s="9"/>
      <c r="AU79" s="309"/>
      <c r="AV79" s="309"/>
      <c r="AW79" s="309"/>
      <c r="AX79" s="309"/>
      <c r="AY79" s="309"/>
      <c r="AZ79" s="309"/>
      <c r="BA79" s="309"/>
      <c r="BB79" s="309"/>
      <c r="BC79" s="309"/>
      <c r="BD79" s="331" t="s">
        <v>988</v>
      </c>
      <c r="BE79" s="339"/>
      <c r="BF79" s="339"/>
      <c r="BG79" s="340" t="e">
        <f t="shared" si="12"/>
        <v>#DIV/0!</v>
      </c>
      <c r="BH79" s="339"/>
      <c r="BI79" s="339"/>
      <c r="BJ79" s="340" t="e">
        <f t="shared" si="13"/>
        <v>#DIV/0!</v>
      </c>
      <c r="BK79" s="339"/>
      <c r="BL79" s="339"/>
      <c r="BM79" s="340" t="e">
        <f t="shared" si="14"/>
        <v>#DIV/0!</v>
      </c>
      <c r="BN79" s="339"/>
      <c r="BO79" s="339"/>
      <c r="BP79" s="340" t="e">
        <f t="shared" si="15"/>
        <v>#DIV/0!</v>
      </c>
      <c r="BQ79" s="339"/>
      <c r="BR79" s="339"/>
      <c r="BS79" s="340" t="e">
        <f t="shared" si="16"/>
        <v>#DIV/0!</v>
      </c>
      <c r="BT79" s="339"/>
      <c r="BU79" s="339"/>
      <c r="BV79" s="340" t="e">
        <f t="shared" si="17"/>
        <v>#DIV/0!</v>
      </c>
      <c r="BW79" s="1165"/>
      <c r="BX79" s="1166"/>
      <c r="BY79" s="342" t="str">
        <f t="shared" si="9"/>
        <v>NA</v>
      </c>
      <c r="BZ79" s="341" t="e">
        <f t="shared" si="10"/>
        <v>#DIV/0!</v>
      </c>
      <c r="CA79" s="341" t="e">
        <f t="shared" si="11"/>
        <v>#DIV/0!</v>
      </c>
      <c r="CB79" s="335"/>
      <c r="CC79" s="336"/>
      <c r="CD79" s="336"/>
      <c r="CE79" s="309"/>
      <c r="CH79" s="309"/>
    </row>
    <row r="80" spans="1:86" ht="45" customHeight="1">
      <c r="A80" s="471" t="s">
        <v>48</v>
      </c>
      <c r="B80" s="715">
        <v>0.7</v>
      </c>
      <c r="C80" s="715">
        <v>5</v>
      </c>
      <c r="D80" s="715">
        <v>0.25</v>
      </c>
      <c r="E80" s="715">
        <v>5.7</v>
      </c>
      <c r="F80" s="715">
        <v>270</v>
      </c>
      <c r="G80" s="717"/>
      <c r="H80" s="697"/>
      <c r="I80" s="736"/>
      <c r="J80" s="19"/>
      <c r="K80" s="19"/>
      <c r="L80" s="19"/>
      <c r="M80" s="19"/>
      <c r="N80" s="19"/>
      <c r="O80" s="19"/>
      <c r="P80" s="19"/>
      <c r="R80" s="267" t="s">
        <v>393</v>
      </c>
      <c r="S80" s="22" t="s">
        <v>82</v>
      </c>
      <c r="T80" s="22" t="s">
        <v>841</v>
      </c>
      <c r="U80" s="244">
        <v>0.14000000000000001</v>
      </c>
      <c r="V80" s="22" t="s">
        <v>99</v>
      </c>
      <c r="W80" s="23" t="s">
        <v>394</v>
      </c>
      <c r="X80" s="23" t="s">
        <v>395</v>
      </c>
      <c r="Y80" s="268" t="s">
        <v>396</v>
      </c>
      <c r="Z80" s="19"/>
      <c r="AA80" s="19"/>
      <c r="AB80" s="19"/>
      <c r="AC80" s="19"/>
      <c r="AD80" s="19"/>
      <c r="AE80" s="19"/>
      <c r="AF80" s="264" t="s">
        <v>1270</v>
      </c>
      <c r="AG80" s="722" t="s">
        <v>1205</v>
      </c>
      <c r="AH80" s="9" t="s">
        <v>74</v>
      </c>
      <c r="AI80" s="3">
        <v>0.74</v>
      </c>
      <c r="AJ80" s="3">
        <v>0.8</v>
      </c>
      <c r="AK80" s="3">
        <v>0.77</v>
      </c>
      <c r="AL80" s="4">
        <v>20</v>
      </c>
      <c r="AM80" s="4">
        <v>23.888888888888889</v>
      </c>
      <c r="AN80" s="9" t="s">
        <v>1188</v>
      </c>
      <c r="AO80" s="256"/>
      <c r="AP80" s="256" t="s">
        <v>1590</v>
      </c>
      <c r="AQ80" s="9"/>
      <c r="AR80" s="9"/>
      <c r="AS80" s="9"/>
      <c r="AT80" s="9"/>
      <c r="AU80" s="309"/>
      <c r="AV80" s="309"/>
      <c r="AW80" s="309"/>
      <c r="AX80" s="309"/>
      <c r="AY80" s="309"/>
      <c r="AZ80" s="309"/>
      <c r="BA80" s="309"/>
      <c r="BB80" s="309"/>
      <c r="BC80" s="309"/>
      <c r="BD80" s="331" t="s">
        <v>989</v>
      </c>
      <c r="BE80" s="339"/>
      <c r="BF80" s="339"/>
      <c r="BG80" s="340" t="e">
        <f t="shared" si="12"/>
        <v>#DIV/0!</v>
      </c>
      <c r="BH80" s="339"/>
      <c r="BI80" s="339"/>
      <c r="BJ80" s="340" t="e">
        <f t="shared" si="13"/>
        <v>#DIV/0!</v>
      </c>
      <c r="BK80" s="339"/>
      <c r="BL80" s="339"/>
      <c r="BM80" s="340" t="e">
        <f t="shared" si="14"/>
        <v>#DIV/0!</v>
      </c>
      <c r="BN80" s="339"/>
      <c r="BO80" s="339"/>
      <c r="BP80" s="340" t="e">
        <f t="shared" si="15"/>
        <v>#DIV/0!</v>
      </c>
      <c r="BQ80" s="339"/>
      <c r="BR80" s="339"/>
      <c r="BS80" s="340" t="e">
        <f t="shared" si="16"/>
        <v>#DIV/0!</v>
      </c>
      <c r="BT80" s="339"/>
      <c r="BU80" s="339"/>
      <c r="BV80" s="340" t="e">
        <f t="shared" si="17"/>
        <v>#DIV/0!</v>
      </c>
      <c r="BW80" s="1165"/>
      <c r="BX80" s="1166"/>
      <c r="BY80" s="342" t="str">
        <f t="shared" si="9"/>
        <v>NA</v>
      </c>
      <c r="BZ80" s="341" t="e">
        <f t="shared" si="10"/>
        <v>#DIV/0!</v>
      </c>
      <c r="CA80" s="341" t="e">
        <f t="shared" si="11"/>
        <v>#DIV/0!</v>
      </c>
      <c r="CB80" s="335"/>
      <c r="CC80" s="336"/>
      <c r="CD80" s="336"/>
      <c r="CE80" s="309"/>
      <c r="CH80" s="309"/>
    </row>
    <row r="81" spans="1:86" ht="45" customHeight="1">
      <c r="A81" s="471" t="s">
        <v>52</v>
      </c>
      <c r="B81" s="715">
        <v>0.82</v>
      </c>
      <c r="C81" s="715">
        <v>5</v>
      </c>
      <c r="D81" s="715">
        <v>0.25</v>
      </c>
      <c r="E81" s="715">
        <v>5.7</v>
      </c>
      <c r="F81" s="715">
        <v>300</v>
      </c>
      <c r="G81" s="717" t="s">
        <v>2454</v>
      </c>
      <c r="I81" s="736"/>
      <c r="J81" s="19"/>
      <c r="K81" s="19"/>
      <c r="L81" s="19"/>
      <c r="M81" s="19"/>
      <c r="N81" s="19"/>
      <c r="O81" s="19"/>
      <c r="P81" s="19"/>
      <c r="R81" s="267" t="s">
        <v>397</v>
      </c>
      <c r="S81" s="22" t="s">
        <v>82</v>
      </c>
      <c r="T81" s="22" t="s">
        <v>841</v>
      </c>
      <c r="U81" s="244">
        <v>0.14000000000000001</v>
      </c>
      <c r="V81" s="22" t="s">
        <v>233</v>
      </c>
      <c r="W81" s="23" t="s">
        <v>394</v>
      </c>
      <c r="X81" s="24"/>
      <c r="Y81" s="268" t="s">
        <v>398</v>
      </c>
      <c r="Z81" s="19"/>
      <c r="AA81" s="19"/>
      <c r="AB81" s="19"/>
      <c r="AC81" s="19"/>
      <c r="AD81" s="19"/>
      <c r="AE81" s="19"/>
      <c r="AF81" s="264" t="s">
        <v>1271</v>
      </c>
      <c r="AG81" s="722" t="s">
        <v>1205</v>
      </c>
      <c r="AH81" s="9" t="s">
        <v>74</v>
      </c>
      <c r="AI81" s="3">
        <v>0.7</v>
      </c>
      <c r="AJ81" s="3">
        <v>0.8</v>
      </c>
      <c r="AK81" s="3">
        <v>0.75</v>
      </c>
      <c r="AL81" s="4">
        <v>21.111111111111111</v>
      </c>
      <c r="AM81" s="4">
        <v>26.666666666666668</v>
      </c>
      <c r="AN81" s="9" t="s">
        <v>1188</v>
      </c>
      <c r="AO81" s="256"/>
      <c r="AP81" s="256" t="s">
        <v>1591</v>
      </c>
      <c r="AQ81" s="9"/>
      <c r="AR81" s="9"/>
      <c r="AS81" s="9"/>
      <c r="AT81" s="9"/>
      <c r="AU81" s="309"/>
      <c r="AV81" s="309"/>
      <c r="AW81" s="309"/>
      <c r="AX81" s="309"/>
      <c r="AY81" s="309"/>
      <c r="AZ81" s="309"/>
      <c r="BA81" s="309"/>
      <c r="BB81" s="309"/>
      <c r="BC81" s="309"/>
      <c r="BD81" s="326" t="s">
        <v>990</v>
      </c>
      <c r="BE81" s="339"/>
      <c r="BF81" s="339"/>
      <c r="BG81" s="340" t="e">
        <f t="shared" si="12"/>
        <v>#DIV/0!</v>
      </c>
      <c r="BH81" s="339"/>
      <c r="BI81" s="339"/>
      <c r="BJ81" s="340" t="e">
        <f t="shared" si="13"/>
        <v>#DIV/0!</v>
      </c>
      <c r="BK81" s="339"/>
      <c r="BL81" s="339"/>
      <c r="BM81" s="340" t="e">
        <f t="shared" si="14"/>
        <v>#DIV/0!</v>
      </c>
      <c r="BN81" s="339"/>
      <c r="BO81" s="339"/>
      <c r="BP81" s="340" t="e">
        <f t="shared" si="15"/>
        <v>#DIV/0!</v>
      </c>
      <c r="BQ81" s="339"/>
      <c r="BR81" s="339"/>
      <c r="BS81" s="340" t="e">
        <f t="shared" si="16"/>
        <v>#DIV/0!</v>
      </c>
      <c r="BT81" s="339"/>
      <c r="BU81" s="339"/>
      <c r="BV81" s="340" t="e">
        <f t="shared" si="17"/>
        <v>#DIV/0!</v>
      </c>
      <c r="BW81" s="1165"/>
      <c r="BX81" s="1166"/>
      <c r="BY81" s="342" t="str">
        <f t="shared" si="9"/>
        <v>NA</v>
      </c>
      <c r="BZ81" s="341" t="e">
        <f t="shared" si="10"/>
        <v>#DIV/0!</v>
      </c>
      <c r="CA81" s="341" t="e">
        <f t="shared" si="11"/>
        <v>#DIV/0!</v>
      </c>
      <c r="CB81" s="335"/>
      <c r="CC81" s="336"/>
      <c r="CD81" s="336"/>
      <c r="CE81" s="309"/>
      <c r="CH81" s="309"/>
    </row>
    <row r="82" spans="1:86" ht="45" customHeight="1">
      <c r="A82" s="1" t="s">
        <v>2597</v>
      </c>
      <c r="B82" s="715">
        <v>0.7</v>
      </c>
      <c r="C82" s="715">
        <v>4</v>
      </c>
      <c r="D82" s="715">
        <v>0.3</v>
      </c>
      <c r="E82" s="715">
        <v>5.8</v>
      </c>
      <c r="F82" s="715">
        <v>300</v>
      </c>
      <c r="G82" s="717"/>
      <c r="I82" s="736"/>
      <c r="J82" s="19"/>
      <c r="K82" s="19"/>
      <c r="L82" s="19"/>
      <c r="M82" s="19"/>
      <c r="N82" s="19"/>
      <c r="O82" s="19"/>
      <c r="P82" s="236"/>
      <c r="R82" s="267" t="s">
        <v>160</v>
      </c>
      <c r="S82" s="22" t="s">
        <v>85</v>
      </c>
      <c r="T82" s="22" t="s">
        <v>841</v>
      </c>
      <c r="U82" s="244">
        <v>0.09</v>
      </c>
      <c r="V82" s="22" t="s">
        <v>99</v>
      </c>
      <c r="W82" s="23" t="s">
        <v>399</v>
      </c>
      <c r="X82" s="23" t="s">
        <v>400</v>
      </c>
      <c r="Y82" s="269" t="s">
        <v>4</v>
      </c>
      <c r="Z82" s="19"/>
      <c r="AA82" s="19"/>
      <c r="AB82" s="19"/>
      <c r="AC82" s="19"/>
      <c r="AD82" s="19"/>
      <c r="AE82" s="19"/>
      <c r="AF82" s="264" t="s">
        <v>1272</v>
      </c>
      <c r="AG82" s="722" t="s">
        <v>1213</v>
      </c>
      <c r="AH82" s="9" t="s">
        <v>74</v>
      </c>
      <c r="AI82" s="3">
        <v>0.72</v>
      </c>
      <c r="AJ82" s="3">
        <v>0.76</v>
      </c>
      <c r="AK82" s="3">
        <v>0.74</v>
      </c>
      <c r="AL82" s="4">
        <v>17.777777777777779</v>
      </c>
      <c r="AM82" s="4">
        <v>23.333333333333332</v>
      </c>
      <c r="AN82" s="9" t="s">
        <v>1188</v>
      </c>
      <c r="AO82" s="256"/>
      <c r="AP82" s="256" t="s">
        <v>1592</v>
      </c>
      <c r="AQ82" s="9"/>
      <c r="AR82" s="9"/>
      <c r="AS82" s="9"/>
      <c r="AT82" s="9"/>
      <c r="AU82" s="309"/>
      <c r="AV82" s="309"/>
      <c r="AW82" s="309"/>
      <c r="AX82" s="309"/>
      <c r="AY82" s="309"/>
      <c r="AZ82" s="309"/>
      <c r="BA82" s="309"/>
      <c r="BB82" s="309"/>
      <c r="BC82" s="309"/>
      <c r="BD82" s="331" t="s">
        <v>991</v>
      </c>
      <c r="BE82" s="339"/>
      <c r="BF82" s="339"/>
      <c r="BG82" s="340" t="e">
        <f t="shared" si="12"/>
        <v>#DIV/0!</v>
      </c>
      <c r="BH82" s="339"/>
      <c r="BI82" s="339"/>
      <c r="BJ82" s="340" t="e">
        <f t="shared" si="13"/>
        <v>#DIV/0!</v>
      </c>
      <c r="BK82" s="339"/>
      <c r="BL82" s="339"/>
      <c r="BM82" s="340" t="e">
        <f t="shared" si="14"/>
        <v>#DIV/0!</v>
      </c>
      <c r="BN82" s="339"/>
      <c r="BO82" s="339"/>
      <c r="BP82" s="340" t="e">
        <f t="shared" si="15"/>
        <v>#DIV/0!</v>
      </c>
      <c r="BQ82" s="339"/>
      <c r="BR82" s="339"/>
      <c r="BS82" s="340" t="e">
        <f t="shared" si="16"/>
        <v>#DIV/0!</v>
      </c>
      <c r="BT82" s="339"/>
      <c r="BU82" s="339"/>
      <c r="BV82" s="340" t="e">
        <f t="shared" si="17"/>
        <v>#DIV/0!</v>
      </c>
      <c r="BW82" s="1165"/>
      <c r="BX82" s="1166"/>
      <c r="BY82" s="342" t="str">
        <f t="shared" si="9"/>
        <v>NA</v>
      </c>
      <c r="BZ82" s="341" t="e">
        <f t="shared" si="10"/>
        <v>#DIV/0!</v>
      </c>
      <c r="CA82" s="341" t="e">
        <f t="shared" si="11"/>
        <v>#DIV/0!</v>
      </c>
      <c r="CB82" s="335"/>
      <c r="CC82" s="336"/>
      <c r="CD82" s="336"/>
      <c r="CE82" s="309"/>
      <c r="CH82" s="309"/>
    </row>
    <row r="83" spans="1:86" ht="45" customHeight="1">
      <c r="A83" s="1" t="s">
        <v>2434</v>
      </c>
      <c r="B83" s="715"/>
      <c r="C83" s="715"/>
      <c r="D83" s="715"/>
      <c r="E83" s="715"/>
      <c r="F83" s="715"/>
      <c r="G83" s="718" t="s">
        <v>2459</v>
      </c>
      <c r="I83" s="736"/>
      <c r="J83" s="19"/>
      <c r="K83" s="19"/>
      <c r="L83" s="19"/>
      <c r="M83" s="19"/>
      <c r="N83" s="19"/>
      <c r="O83" s="19"/>
      <c r="P83" s="622"/>
      <c r="R83" s="267" t="s">
        <v>161</v>
      </c>
      <c r="S83" s="22" t="s">
        <v>85</v>
      </c>
      <c r="T83" s="22" t="s">
        <v>841</v>
      </c>
      <c r="U83" s="244">
        <v>0.04</v>
      </c>
      <c r="V83" s="22" t="s">
        <v>233</v>
      </c>
      <c r="W83" s="23" t="s">
        <v>401</v>
      </c>
      <c r="X83" s="23" t="s">
        <v>402</v>
      </c>
      <c r="Y83" s="269"/>
      <c r="Z83" s="19"/>
      <c r="AA83" s="19"/>
      <c r="AB83" s="19"/>
      <c r="AC83" s="19"/>
      <c r="AD83" s="19"/>
      <c r="AE83" s="19"/>
      <c r="AF83" s="264" t="s">
        <v>1273</v>
      </c>
      <c r="AG83" s="722" t="s">
        <v>1236</v>
      </c>
      <c r="AH83" s="9" t="s">
        <v>74</v>
      </c>
      <c r="AI83" s="3"/>
      <c r="AJ83" s="3"/>
      <c r="AK83" s="3">
        <v>0.76</v>
      </c>
      <c r="AL83" s="4">
        <v>22.222222222222221</v>
      </c>
      <c r="AM83" s="4">
        <v>23.888888888888889</v>
      </c>
      <c r="AN83" s="9" t="s">
        <v>1198</v>
      </c>
      <c r="AO83" s="256"/>
      <c r="AP83" s="256" t="s">
        <v>1593</v>
      </c>
      <c r="AQ83" s="9"/>
      <c r="AR83" s="9"/>
      <c r="AS83" s="9"/>
      <c r="AT83" s="9"/>
      <c r="AU83" s="309"/>
      <c r="AV83" s="309"/>
      <c r="AW83" s="309"/>
      <c r="AX83" s="309"/>
      <c r="AY83" s="309"/>
      <c r="AZ83" s="309"/>
      <c r="BA83" s="309"/>
      <c r="BB83" s="309"/>
      <c r="BC83" s="309"/>
      <c r="BD83" s="331" t="s">
        <v>992</v>
      </c>
      <c r="BE83" s="339"/>
      <c r="BF83" s="339"/>
      <c r="BG83" s="340" t="e">
        <f t="shared" si="12"/>
        <v>#DIV/0!</v>
      </c>
      <c r="BH83" s="339"/>
      <c r="BI83" s="339"/>
      <c r="BJ83" s="340" t="e">
        <f t="shared" si="13"/>
        <v>#DIV/0!</v>
      </c>
      <c r="BK83" s="339"/>
      <c r="BL83" s="339"/>
      <c r="BM83" s="340" t="e">
        <f t="shared" si="14"/>
        <v>#DIV/0!</v>
      </c>
      <c r="BN83" s="339"/>
      <c r="BO83" s="339"/>
      <c r="BP83" s="340" t="e">
        <f t="shared" si="15"/>
        <v>#DIV/0!</v>
      </c>
      <c r="BQ83" s="339"/>
      <c r="BR83" s="339"/>
      <c r="BS83" s="340" t="e">
        <f t="shared" si="16"/>
        <v>#DIV/0!</v>
      </c>
      <c r="BT83" s="339"/>
      <c r="BU83" s="339"/>
      <c r="BV83" s="340" t="e">
        <f t="shared" si="17"/>
        <v>#DIV/0!</v>
      </c>
      <c r="BW83" s="1165"/>
      <c r="BX83" s="1166"/>
      <c r="BY83" s="342" t="str">
        <f t="shared" si="9"/>
        <v>NA</v>
      </c>
      <c r="BZ83" s="341" t="e">
        <f t="shared" si="10"/>
        <v>#DIV/0!</v>
      </c>
      <c r="CA83" s="341" t="e">
        <f t="shared" si="11"/>
        <v>#DIV/0!</v>
      </c>
      <c r="CB83" s="335"/>
      <c r="CC83" s="336"/>
      <c r="CD83" s="336"/>
      <c r="CE83" s="309"/>
      <c r="CH83" s="309"/>
    </row>
    <row r="84" spans="1:86" ht="45" customHeight="1">
      <c r="A84" s="734"/>
      <c r="I84" s="736"/>
      <c r="J84" s="19"/>
      <c r="K84" s="19"/>
      <c r="L84" s="19"/>
      <c r="M84" s="19"/>
      <c r="N84" s="19"/>
      <c r="O84" s="19"/>
      <c r="P84" s="622"/>
      <c r="R84" s="267" t="s">
        <v>162</v>
      </c>
      <c r="S84" s="22" t="s">
        <v>85</v>
      </c>
      <c r="T84" s="22" t="s">
        <v>841</v>
      </c>
      <c r="U84" s="244">
        <v>7.0000000000000007E-2</v>
      </c>
      <c r="V84" s="22" t="s">
        <v>233</v>
      </c>
      <c r="W84" s="23" t="s">
        <v>403</v>
      </c>
      <c r="X84" s="23" t="s">
        <v>404</v>
      </c>
      <c r="Y84" s="268" t="s">
        <v>405</v>
      </c>
      <c r="Z84" s="19"/>
      <c r="AA84" s="19"/>
      <c r="AB84" s="19"/>
      <c r="AC84" s="19"/>
      <c r="AD84" s="19"/>
      <c r="AE84" s="19"/>
      <c r="AF84" s="264" t="s">
        <v>1274</v>
      </c>
      <c r="AG84" s="722" t="s">
        <v>1205</v>
      </c>
      <c r="AH84" s="9" t="s">
        <v>74</v>
      </c>
      <c r="AI84" s="3">
        <v>0.74</v>
      </c>
      <c r="AJ84" s="3">
        <v>0.78</v>
      </c>
      <c r="AK84" s="3">
        <v>0.76</v>
      </c>
      <c r="AL84" s="4">
        <v>19.444444444444443</v>
      </c>
      <c r="AM84" s="4">
        <v>23.333333333333332</v>
      </c>
      <c r="AN84" s="9" t="s">
        <v>1190</v>
      </c>
      <c r="AO84" s="256"/>
      <c r="AP84" s="256" t="s">
        <v>1594</v>
      </c>
      <c r="AQ84" s="9"/>
      <c r="AR84" s="9"/>
      <c r="AS84" s="9"/>
      <c r="AT84" s="9"/>
      <c r="AU84" s="309"/>
      <c r="AV84" s="309"/>
      <c r="AW84" s="309"/>
      <c r="AX84" s="309"/>
      <c r="AY84" s="309"/>
      <c r="AZ84" s="309"/>
      <c r="BA84" s="309"/>
      <c r="BB84" s="309"/>
      <c r="BC84" s="309"/>
      <c r="BD84" s="326" t="s">
        <v>993</v>
      </c>
      <c r="BE84" s="339"/>
      <c r="BF84" s="339"/>
      <c r="BG84" s="340" t="e">
        <f t="shared" si="12"/>
        <v>#DIV/0!</v>
      </c>
      <c r="BH84" s="339"/>
      <c r="BI84" s="339"/>
      <c r="BJ84" s="340" t="e">
        <f t="shared" si="13"/>
        <v>#DIV/0!</v>
      </c>
      <c r="BK84" s="339"/>
      <c r="BL84" s="339"/>
      <c r="BM84" s="340" t="e">
        <f t="shared" si="14"/>
        <v>#DIV/0!</v>
      </c>
      <c r="BN84" s="339"/>
      <c r="BO84" s="339"/>
      <c r="BP84" s="340" t="e">
        <f t="shared" si="15"/>
        <v>#DIV/0!</v>
      </c>
      <c r="BQ84" s="339"/>
      <c r="BR84" s="339"/>
      <c r="BS84" s="340" t="e">
        <f t="shared" si="16"/>
        <v>#DIV/0!</v>
      </c>
      <c r="BT84" s="339"/>
      <c r="BU84" s="339"/>
      <c r="BV84" s="340" t="e">
        <f t="shared" si="17"/>
        <v>#DIV/0!</v>
      </c>
      <c r="BW84" s="1165"/>
      <c r="BX84" s="1166"/>
      <c r="BY84" s="342" t="str">
        <f t="shared" si="9"/>
        <v>NA</v>
      </c>
      <c r="BZ84" s="341" t="e">
        <f t="shared" si="10"/>
        <v>#DIV/0!</v>
      </c>
      <c r="CA84" s="341" t="e">
        <f t="shared" si="11"/>
        <v>#DIV/0!</v>
      </c>
      <c r="CB84" s="335"/>
      <c r="CC84" s="336"/>
      <c r="CD84" s="336"/>
      <c r="CE84" s="309"/>
      <c r="CH84" s="309"/>
    </row>
    <row r="85" spans="1:86" ht="45" customHeight="1">
      <c r="A85"/>
      <c r="I85" s="736"/>
      <c r="J85" s="19"/>
      <c r="K85" s="19"/>
      <c r="L85" s="19"/>
      <c r="M85" s="19"/>
      <c r="N85" s="19"/>
      <c r="O85" s="19"/>
      <c r="P85" s="622"/>
      <c r="R85" s="267" t="s">
        <v>163</v>
      </c>
      <c r="S85" s="22" t="s">
        <v>87</v>
      </c>
      <c r="T85" s="22" t="s">
        <v>841</v>
      </c>
      <c r="U85" s="244">
        <v>0.13</v>
      </c>
      <c r="V85" s="22" t="s">
        <v>99</v>
      </c>
      <c r="W85" s="23" t="s">
        <v>406</v>
      </c>
      <c r="X85" s="23" t="s">
        <v>407</v>
      </c>
      <c r="Y85" s="268" t="s">
        <v>408</v>
      </c>
      <c r="Z85" s="19"/>
      <c r="AA85" s="19"/>
      <c r="AB85" s="19"/>
      <c r="AC85" s="19"/>
      <c r="AD85" s="19"/>
      <c r="AE85" s="19"/>
      <c r="AF85" s="264" t="s">
        <v>1275</v>
      </c>
      <c r="AG85" s="722" t="s">
        <v>1205</v>
      </c>
      <c r="AH85" s="9" t="s">
        <v>74</v>
      </c>
      <c r="AI85" s="3">
        <v>0.7</v>
      </c>
      <c r="AJ85" s="3">
        <v>0.75</v>
      </c>
      <c r="AK85" s="3">
        <v>0.72499999999999998</v>
      </c>
      <c r="AL85" s="4">
        <v>19.444444444444443</v>
      </c>
      <c r="AM85" s="4">
        <v>23.333333333333332</v>
      </c>
      <c r="AN85" s="9" t="s">
        <v>1190</v>
      </c>
      <c r="AO85" s="256"/>
      <c r="AP85" s="256" t="s">
        <v>1595</v>
      </c>
      <c r="AQ85" s="9"/>
      <c r="AR85" s="9"/>
      <c r="AS85" s="9"/>
      <c r="AT85" s="9"/>
      <c r="AU85" s="309"/>
      <c r="AV85" s="309"/>
      <c r="AW85" s="309"/>
      <c r="AX85" s="309"/>
      <c r="AY85" s="309"/>
      <c r="AZ85" s="309"/>
      <c r="BA85" s="309"/>
      <c r="BB85" s="309"/>
      <c r="BC85" s="309"/>
      <c r="BD85" s="331" t="s">
        <v>994</v>
      </c>
      <c r="BE85" s="339"/>
      <c r="BF85" s="339"/>
      <c r="BG85" s="340" t="e">
        <f t="shared" si="12"/>
        <v>#DIV/0!</v>
      </c>
      <c r="BH85" s="339"/>
      <c r="BI85" s="339"/>
      <c r="BJ85" s="340" t="e">
        <f t="shared" si="13"/>
        <v>#DIV/0!</v>
      </c>
      <c r="BK85" s="339"/>
      <c r="BL85" s="339"/>
      <c r="BM85" s="340" t="e">
        <f t="shared" si="14"/>
        <v>#DIV/0!</v>
      </c>
      <c r="BN85" s="339"/>
      <c r="BO85" s="339"/>
      <c r="BP85" s="340" t="e">
        <f t="shared" si="15"/>
        <v>#DIV/0!</v>
      </c>
      <c r="BQ85" s="339"/>
      <c r="BR85" s="339"/>
      <c r="BS85" s="340" t="e">
        <f t="shared" si="16"/>
        <v>#DIV/0!</v>
      </c>
      <c r="BT85" s="339"/>
      <c r="BU85" s="339"/>
      <c r="BV85" s="340" t="e">
        <f t="shared" si="17"/>
        <v>#DIV/0!</v>
      </c>
      <c r="BW85" s="1165"/>
      <c r="BX85" s="1166"/>
      <c r="BY85" s="342" t="str">
        <f t="shared" si="9"/>
        <v>NA</v>
      </c>
      <c r="BZ85" s="341" t="e">
        <f t="shared" si="10"/>
        <v>#DIV/0!</v>
      </c>
      <c r="CA85" s="341" t="e">
        <f t="shared" si="11"/>
        <v>#DIV/0!</v>
      </c>
      <c r="CB85" s="335"/>
      <c r="CC85" s="336"/>
      <c r="CD85" s="336"/>
      <c r="CE85" s="309"/>
      <c r="CH85" s="309"/>
    </row>
    <row r="86" spans="1:86" ht="45" customHeight="1">
      <c r="A86" s="734"/>
      <c r="F86"/>
      <c r="I86" s="736"/>
      <c r="J86" s="19"/>
      <c r="K86" s="19"/>
      <c r="L86" s="19"/>
      <c r="M86" s="19"/>
      <c r="N86" s="19"/>
      <c r="O86" s="19"/>
      <c r="P86" s="695"/>
      <c r="R86" s="267" t="s">
        <v>164</v>
      </c>
      <c r="S86" s="22" t="s">
        <v>82</v>
      </c>
      <c r="T86" s="22" t="s">
        <v>841</v>
      </c>
      <c r="U86" s="244">
        <v>0.17</v>
      </c>
      <c r="V86" s="22" t="s">
        <v>233</v>
      </c>
      <c r="W86" s="24" t="s">
        <v>100</v>
      </c>
      <c r="X86" s="23" t="s">
        <v>409</v>
      </c>
      <c r="Y86" s="268" t="s">
        <v>410</v>
      </c>
      <c r="Z86" s="19"/>
      <c r="AA86" s="19"/>
      <c r="AB86" s="19"/>
      <c r="AC86" s="19"/>
      <c r="AD86" s="19"/>
      <c r="AE86" s="19"/>
      <c r="AF86" s="264" t="s">
        <v>1276</v>
      </c>
      <c r="AG86" s="722" t="s">
        <v>1213</v>
      </c>
      <c r="AH86" s="9" t="s">
        <v>74</v>
      </c>
      <c r="AI86" s="3">
        <v>0.72</v>
      </c>
      <c r="AJ86" s="3">
        <v>0.76</v>
      </c>
      <c r="AK86" s="3">
        <v>0.74</v>
      </c>
      <c r="AL86" s="4">
        <v>15.555555555555555</v>
      </c>
      <c r="AM86" s="4">
        <v>23.888888888888889</v>
      </c>
      <c r="AN86" s="9" t="s">
        <v>1188</v>
      </c>
      <c r="AO86" s="256"/>
      <c r="AP86" s="256" t="s">
        <v>1596</v>
      </c>
      <c r="AQ86" s="9"/>
      <c r="AR86" s="9"/>
      <c r="AS86" s="9"/>
      <c r="AT86" s="9"/>
      <c r="AU86" s="309"/>
      <c r="AV86" s="309"/>
      <c r="AW86" s="309"/>
      <c r="AX86" s="309"/>
      <c r="AY86" s="309"/>
      <c r="AZ86" s="309"/>
      <c r="BA86" s="309"/>
      <c r="BB86" s="309"/>
      <c r="BC86" s="309"/>
      <c r="BD86" s="331" t="s">
        <v>995</v>
      </c>
      <c r="BE86" s="339"/>
      <c r="BF86" s="339"/>
      <c r="BG86" s="340" t="e">
        <f t="shared" si="12"/>
        <v>#DIV/0!</v>
      </c>
      <c r="BH86" s="339"/>
      <c r="BI86" s="339"/>
      <c r="BJ86" s="340" t="e">
        <f t="shared" si="13"/>
        <v>#DIV/0!</v>
      </c>
      <c r="BK86" s="339"/>
      <c r="BL86" s="339"/>
      <c r="BM86" s="340" t="e">
        <f t="shared" si="14"/>
        <v>#DIV/0!</v>
      </c>
      <c r="BN86" s="339"/>
      <c r="BO86" s="339"/>
      <c r="BP86" s="340" t="e">
        <f t="shared" si="15"/>
        <v>#DIV/0!</v>
      </c>
      <c r="BQ86" s="339"/>
      <c r="BR86" s="339"/>
      <c r="BS86" s="340" t="e">
        <f t="shared" si="16"/>
        <v>#DIV/0!</v>
      </c>
      <c r="BT86" s="339"/>
      <c r="BU86" s="339"/>
      <c r="BV86" s="340" t="e">
        <f t="shared" si="17"/>
        <v>#DIV/0!</v>
      </c>
      <c r="BW86" s="1165"/>
      <c r="BX86" s="1166"/>
      <c r="BY86" s="342" t="str">
        <f t="shared" si="9"/>
        <v>NA</v>
      </c>
      <c r="BZ86" s="341" t="e">
        <f t="shared" si="10"/>
        <v>#DIV/0!</v>
      </c>
      <c r="CA86" s="341" t="e">
        <f t="shared" si="11"/>
        <v>#DIV/0!</v>
      </c>
      <c r="CB86" s="335"/>
      <c r="CC86" s="336"/>
      <c r="CD86" s="336"/>
      <c r="CE86" s="309"/>
      <c r="CH86" s="309"/>
    </row>
    <row r="87" spans="1:86" ht="45" customHeight="1">
      <c r="I87" s="736"/>
      <c r="J87" s="19"/>
      <c r="K87" s="19"/>
      <c r="L87" s="19"/>
      <c r="M87" s="19"/>
      <c r="N87" s="19"/>
      <c r="O87" s="19"/>
      <c r="P87" s="622"/>
      <c r="R87" s="267" t="s">
        <v>1869</v>
      </c>
      <c r="S87" s="22" t="s">
        <v>87</v>
      </c>
      <c r="T87" s="22" t="s">
        <v>841</v>
      </c>
      <c r="U87" s="244">
        <v>8.1000000000000003E-2</v>
      </c>
      <c r="V87" s="21" t="s">
        <v>527</v>
      </c>
      <c r="W87" s="23" t="s">
        <v>1871</v>
      </c>
      <c r="X87" s="23" t="s">
        <v>1870</v>
      </c>
      <c r="Y87" s="268" t="s">
        <v>1872</v>
      </c>
      <c r="AA87" s="19"/>
      <c r="AB87" s="19"/>
      <c r="AC87" s="19"/>
      <c r="AD87" s="19"/>
      <c r="AE87" s="19"/>
      <c r="AF87" s="264" t="s">
        <v>1277</v>
      </c>
      <c r="AG87" s="722" t="s">
        <v>1203</v>
      </c>
      <c r="AH87" s="9" t="s">
        <v>72</v>
      </c>
      <c r="AI87" s="3"/>
      <c r="AJ87" s="3"/>
      <c r="AK87" s="3">
        <v>0.8</v>
      </c>
      <c r="AL87" s="4">
        <v>15</v>
      </c>
      <c r="AM87" s="4">
        <v>35</v>
      </c>
      <c r="AN87" s="9" t="s">
        <v>1198</v>
      </c>
      <c r="AO87" s="256"/>
      <c r="AP87" s="256" t="s">
        <v>1597</v>
      </c>
      <c r="AQ87" s="9"/>
      <c r="AR87" s="9"/>
      <c r="AS87" s="9"/>
      <c r="AT87" s="9"/>
      <c r="AU87" s="309"/>
      <c r="AV87" s="309"/>
      <c r="AW87" s="309"/>
      <c r="AX87" s="309"/>
      <c r="AY87" s="309"/>
      <c r="AZ87" s="309"/>
      <c r="BA87" s="309"/>
      <c r="BB87" s="309"/>
      <c r="BC87" s="309"/>
      <c r="BD87" s="331" t="s">
        <v>996</v>
      </c>
      <c r="BE87" s="339"/>
      <c r="BF87" s="339"/>
      <c r="BG87" s="340" t="e">
        <f t="shared" si="12"/>
        <v>#DIV/0!</v>
      </c>
      <c r="BH87" s="339"/>
      <c r="BI87" s="339"/>
      <c r="BJ87" s="340" t="e">
        <f t="shared" si="13"/>
        <v>#DIV/0!</v>
      </c>
      <c r="BK87" s="339"/>
      <c r="BL87" s="339"/>
      <c r="BM87" s="340" t="e">
        <f t="shared" si="14"/>
        <v>#DIV/0!</v>
      </c>
      <c r="BN87" s="339"/>
      <c r="BO87" s="339"/>
      <c r="BP87" s="340" t="e">
        <f t="shared" si="15"/>
        <v>#DIV/0!</v>
      </c>
      <c r="BQ87" s="339"/>
      <c r="BR87" s="339"/>
      <c r="BS87" s="340" t="e">
        <f t="shared" si="16"/>
        <v>#DIV/0!</v>
      </c>
      <c r="BT87" s="339"/>
      <c r="BU87" s="339"/>
      <c r="BV87" s="340" t="e">
        <f t="shared" si="17"/>
        <v>#DIV/0!</v>
      </c>
      <c r="BW87" s="1165"/>
      <c r="BX87" s="1166"/>
      <c r="BY87" s="342" t="str">
        <f t="shared" si="9"/>
        <v>NA</v>
      </c>
      <c r="BZ87" s="341" t="e">
        <f t="shared" si="10"/>
        <v>#DIV/0!</v>
      </c>
      <c r="CA87" s="341" t="e">
        <f t="shared" si="11"/>
        <v>#DIV/0!</v>
      </c>
      <c r="CB87" s="335"/>
      <c r="CC87" s="336"/>
      <c r="CD87" s="336"/>
      <c r="CE87" s="309"/>
      <c r="CH87" s="309"/>
    </row>
    <row r="88" spans="1:86" ht="45" customHeight="1">
      <c r="I88" s="736"/>
      <c r="J88" s="19"/>
      <c r="K88" s="19"/>
      <c r="L88" s="19"/>
      <c r="M88" s="19"/>
      <c r="N88" s="19"/>
      <c r="O88" s="19"/>
      <c r="P88" s="622"/>
      <c r="R88" s="267" t="s">
        <v>165</v>
      </c>
      <c r="S88" s="22" t="s">
        <v>85</v>
      </c>
      <c r="T88" s="22" t="s">
        <v>841</v>
      </c>
      <c r="U88" s="244">
        <v>0.123</v>
      </c>
      <c r="V88" s="22" t="s">
        <v>233</v>
      </c>
      <c r="W88" s="23" t="s">
        <v>286</v>
      </c>
      <c r="X88" s="23" t="s">
        <v>411</v>
      </c>
      <c r="Y88" s="268" t="s">
        <v>412</v>
      </c>
      <c r="Z88" s="19"/>
      <c r="AA88" s="19"/>
      <c r="AB88" s="19"/>
      <c r="AC88" s="19"/>
      <c r="AD88" s="19"/>
      <c r="AE88" s="19"/>
      <c r="AF88" s="264" t="s">
        <v>1278</v>
      </c>
      <c r="AG88" s="722" t="s">
        <v>1236</v>
      </c>
      <c r="AH88" s="9" t="s">
        <v>74</v>
      </c>
      <c r="AI88" s="3"/>
      <c r="AJ88" s="3"/>
      <c r="AK88" s="3"/>
      <c r="AL88" s="4">
        <v>21.111111111111111</v>
      </c>
      <c r="AM88" s="4">
        <v>23.333333333333332</v>
      </c>
      <c r="AN88" s="9"/>
      <c r="AO88" s="256"/>
      <c r="AP88" s="256" t="s">
        <v>1598</v>
      </c>
      <c r="AQ88" s="9"/>
      <c r="AR88" s="9"/>
      <c r="AS88" s="9"/>
      <c r="AT88" s="9"/>
      <c r="AU88" s="309"/>
      <c r="AV88" s="309"/>
      <c r="AW88" s="309"/>
      <c r="AX88" s="309"/>
      <c r="AY88" s="309"/>
      <c r="AZ88" s="309"/>
      <c r="BA88" s="309"/>
      <c r="BB88" s="309"/>
      <c r="BC88" s="309"/>
      <c r="BD88" s="326" t="s">
        <v>997</v>
      </c>
      <c r="BE88" s="339"/>
      <c r="BF88" s="339"/>
      <c r="BG88" s="340" t="e">
        <f t="shared" si="12"/>
        <v>#DIV/0!</v>
      </c>
      <c r="BH88" s="339"/>
      <c r="BI88" s="339"/>
      <c r="BJ88" s="340" t="e">
        <f t="shared" si="13"/>
        <v>#DIV/0!</v>
      </c>
      <c r="BK88" s="339"/>
      <c r="BL88" s="339"/>
      <c r="BM88" s="340" t="e">
        <f t="shared" si="14"/>
        <v>#DIV/0!</v>
      </c>
      <c r="BN88" s="339"/>
      <c r="BO88" s="339"/>
      <c r="BP88" s="340" t="e">
        <f t="shared" si="15"/>
        <v>#DIV/0!</v>
      </c>
      <c r="BQ88" s="339"/>
      <c r="BR88" s="339"/>
      <c r="BS88" s="340" t="e">
        <f t="shared" si="16"/>
        <v>#DIV/0!</v>
      </c>
      <c r="BT88" s="339"/>
      <c r="BU88" s="339"/>
      <c r="BV88" s="340" t="e">
        <f t="shared" si="17"/>
        <v>#DIV/0!</v>
      </c>
      <c r="BW88" s="1165"/>
      <c r="BX88" s="1166"/>
      <c r="BY88" s="342" t="str">
        <f t="shared" si="9"/>
        <v>NA</v>
      </c>
      <c r="BZ88" s="341" t="e">
        <f t="shared" si="10"/>
        <v>#DIV/0!</v>
      </c>
      <c r="CA88" s="341" t="e">
        <f t="shared" si="11"/>
        <v>#DIV/0!</v>
      </c>
      <c r="CB88" s="335"/>
      <c r="CC88" s="336"/>
      <c r="CD88" s="336"/>
      <c r="CE88" s="309"/>
      <c r="CH88" s="309"/>
    </row>
    <row r="89" spans="1:86" ht="45" customHeight="1">
      <c r="I89" s="736"/>
      <c r="J89" s="19"/>
      <c r="K89" s="19"/>
      <c r="L89" s="19"/>
      <c r="M89" s="19"/>
      <c r="N89" s="19"/>
      <c r="O89" s="19"/>
      <c r="P89" s="375"/>
      <c r="R89" s="267" t="s">
        <v>804</v>
      </c>
      <c r="S89" s="22" t="s">
        <v>85</v>
      </c>
      <c r="T89" s="22" t="s">
        <v>841</v>
      </c>
      <c r="U89" s="244">
        <v>0.2</v>
      </c>
      <c r="V89" s="22" t="s">
        <v>233</v>
      </c>
      <c r="W89" s="23" t="s">
        <v>286</v>
      </c>
      <c r="X89" s="23" t="s">
        <v>411</v>
      </c>
      <c r="Y89" s="268" t="s">
        <v>412</v>
      </c>
      <c r="Z89" s="19"/>
      <c r="AA89" s="19"/>
      <c r="AB89" s="19"/>
      <c r="AC89" s="19"/>
      <c r="AD89" s="19"/>
      <c r="AE89" s="19"/>
      <c r="AF89" s="264" t="s">
        <v>1279</v>
      </c>
      <c r="AG89" s="722" t="s">
        <v>1213</v>
      </c>
      <c r="AH89" s="9" t="s">
        <v>74</v>
      </c>
      <c r="AI89" s="3">
        <v>0.73</v>
      </c>
      <c r="AJ89" s="3">
        <v>0.77</v>
      </c>
      <c r="AK89" s="3">
        <v>0.75</v>
      </c>
      <c r="AL89" s="4">
        <v>20</v>
      </c>
      <c r="AM89" s="4">
        <v>22.222222222222221</v>
      </c>
      <c r="AN89" s="9" t="s">
        <v>1198</v>
      </c>
      <c r="AO89" s="256"/>
      <c r="AP89" s="256" t="s">
        <v>1599</v>
      </c>
      <c r="AQ89" s="9"/>
      <c r="AR89" s="9"/>
      <c r="AS89" s="9"/>
      <c r="AT89" s="9"/>
      <c r="AU89" s="309"/>
      <c r="AV89" s="309"/>
      <c r="AW89" s="309"/>
      <c r="AX89" s="309"/>
      <c r="AY89" s="309"/>
      <c r="AZ89" s="309"/>
      <c r="BA89" s="309"/>
      <c r="BB89" s="309"/>
      <c r="BC89" s="309"/>
      <c r="BD89" s="331" t="s">
        <v>998</v>
      </c>
      <c r="BE89" s="339"/>
      <c r="BF89" s="339"/>
      <c r="BG89" s="340" t="e">
        <f t="shared" si="12"/>
        <v>#DIV/0!</v>
      </c>
      <c r="BH89" s="339"/>
      <c r="BI89" s="339"/>
      <c r="BJ89" s="340" t="e">
        <f t="shared" si="13"/>
        <v>#DIV/0!</v>
      </c>
      <c r="BK89" s="339"/>
      <c r="BL89" s="339"/>
      <c r="BM89" s="340" t="e">
        <f t="shared" si="14"/>
        <v>#DIV/0!</v>
      </c>
      <c r="BN89" s="339"/>
      <c r="BO89" s="339"/>
      <c r="BP89" s="340" t="e">
        <f t="shared" si="15"/>
        <v>#DIV/0!</v>
      </c>
      <c r="BQ89" s="339"/>
      <c r="BR89" s="339"/>
      <c r="BS89" s="340" t="e">
        <f t="shared" si="16"/>
        <v>#DIV/0!</v>
      </c>
      <c r="BT89" s="339"/>
      <c r="BU89" s="339"/>
      <c r="BV89" s="340" t="e">
        <f t="shared" si="17"/>
        <v>#DIV/0!</v>
      </c>
      <c r="BW89" s="1165"/>
      <c r="BX89" s="1166"/>
      <c r="BY89" s="342" t="str">
        <f t="shared" si="9"/>
        <v>NA</v>
      </c>
      <c r="BZ89" s="341" t="e">
        <f t="shared" si="10"/>
        <v>#DIV/0!</v>
      </c>
      <c r="CA89" s="341" t="e">
        <f t="shared" si="11"/>
        <v>#DIV/0!</v>
      </c>
      <c r="CB89" s="335"/>
      <c r="CC89" s="336"/>
      <c r="CD89" s="336"/>
      <c r="CE89" s="309"/>
      <c r="CH89" s="309"/>
    </row>
    <row r="90" spans="1:86" ht="45" customHeight="1">
      <c r="I90" s="736"/>
      <c r="J90" s="19"/>
      <c r="K90" s="19"/>
      <c r="L90" s="19"/>
      <c r="M90" s="19"/>
      <c r="N90" s="19"/>
      <c r="O90" s="19"/>
      <c r="P90" s="622"/>
      <c r="R90" s="267" t="s">
        <v>166</v>
      </c>
      <c r="S90" s="22" t="s">
        <v>87</v>
      </c>
      <c r="T90" s="22" t="s">
        <v>841</v>
      </c>
      <c r="U90" s="244">
        <v>7.0000000000000007E-2</v>
      </c>
      <c r="V90" s="22" t="s">
        <v>121</v>
      </c>
      <c r="W90" s="23" t="s">
        <v>413</v>
      </c>
      <c r="X90" s="23" t="s">
        <v>414</v>
      </c>
      <c r="Y90" s="268" t="s">
        <v>415</v>
      </c>
      <c r="Z90" s="19"/>
      <c r="AA90" s="19"/>
      <c r="AB90" s="19"/>
      <c r="AC90" s="19"/>
      <c r="AD90" s="19"/>
      <c r="AE90" s="19"/>
      <c r="AF90" s="264" t="s">
        <v>1280</v>
      </c>
      <c r="AG90" s="722" t="s">
        <v>1205</v>
      </c>
      <c r="AH90" s="9" t="s">
        <v>74</v>
      </c>
      <c r="AI90" s="3">
        <v>0.63</v>
      </c>
      <c r="AJ90" s="3">
        <v>0.8</v>
      </c>
      <c r="AK90" s="3">
        <v>0.71499999999999997</v>
      </c>
      <c r="AL90" s="4">
        <v>20</v>
      </c>
      <c r="AM90" s="4">
        <v>22.222222222222221</v>
      </c>
      <c r="AN90" s="9" t="s">
        <v>1188</v>
      </c>
      <c r="AO90" s="256"/>
      <c r="AP90" s="256" t="s">
        <v>1600</v>
      </c>
      <c r="AQ90" s="9"/>
      <c r="AR90" s="9"/>
      <c r="AS90" s="9"/>
      <c r="AT90" s="9"/>
      <c r="AU90" s="309"/>
      <c r="AV90" s="309"/>
      <c r="AW90" s="309"/>
      <c r="AX90" s="309"/>
      <c r="AY90" s="309"/>
      <c r="AZ90" s="309"/>
      <c r="BA90" s="309"/>
      <c r="BB90" s="309"/>
      <c r="BC90" s="309"/>
      <c r="BD90" s="331" t="s">
        <v>999</v>
      </c>
      <c r="BE90" s="339"/>
      <c r="BF90" s="339"/>
      <c r="BG90" s="340" t="e">
        <f t="shared" si="12"/>
        <v>#DIV/0!</v>
      </c>
      <c r="BH90" s="339"/>
      <c r="BI90" s="339"/>
      <c r="BJ90" s="340" t="e">
        <f t="shared" si="13"/>
        <v>#DIV/0!</v>
      </c>
      <c r="BK90" s="339"/>
      <c r="BL90" s="339"/>
      <c r="BM90" s="340" t="e">
        <f t="shared" si="14"/>
        <v>#DIV/0!</v>
      </c>
      <c r="BN90" s="339"/>
      <c r="BO90" s="339"/>
      <c r="BP90" s="340" t="e">
        <f t="shared" si="15"/>
        <v>#DIV/0!</v>
      </c>
      <c r="BQ90" s="339"/>
      <c r="BR90" s="339"/>
      <c r="BS90" s="340" t="e">
        <f t="shared" si="16"/>
        <v>#DIV/0!</v>
      </c>
      <c r="BT90" s="339"/>
      <c r="BU90" s="339"/>
      <c r="BV90" s="340" t="e">
        <f t="shared" si="17"/>
        <v>#DIV/0!</v>
      </c>
      <c r="BW90" s="1165"/>
      <c r="BX90" s="1166"/>
      <c r="BY90" s="342" t="str">
        <f t="shared" si="9"/>
        <v>NA</v>
      </c>
      <c r="BZ90" s="341" t="e">
        <f t="shared" si="10"/>
        <v>#DIV/0!</v>
      </c>
      <c r="CA90" s="341" t="e">
        <f t="shared" si="11"/>
        <v>#DIV/0!</v>
      </c>
      <c r="CB90" s="335"/>
      <c r="CC90" s="336"/>
      <c r="CD90" s="336"/>
      <c r="CE90" s="309"/>
      <c r="CH90" s="309"/>
    </row>
    <row r="91" spans="1:86" ht="45" customHeight="1">
      <c r="I91" s="736"/>
      <c r="J91" s="19"/>
      <c r="K91" s="19"/>
      <c r="L91" s="19"/>
      <c r="M91" s="19"/>
      <c r="N91" s="19"/>
      <c r="O91" s="19"/>
      <c r="P91" s="622"/>
      <c r="R91" s="267" t="s">
        <v>167</v>
      </c>
      <c r="S91" s="22" t="s">
        <v>85</v>
      </c>
      <c r="T91" s="22" t="s">
        <v>841</v>
      </c>
      <c r="U91" s="244">
        <v>0.05</v>
      </c>
      <c r="V91" s="22" t="s">
        <v>233</v>
      </c>
      <c r="W91" s="23" t="s">
        <v>416</v>
      </c>
      <c r="X91" s="23" t="s">
        <v>417</v>
      </c>
      <c r="Y91" s="268" t="s">
        <v>418</v>
      </c>
      <c r="Z91" s="19"/>
      <c r="AA91" s="19"/>
      <c r="AB91" s="19"/>
      <c r="AC91" s="19"/>
      <c r="AD91" s="19"/>
      <c r="AE91" s="19"/>
      <c r="AF91" s="264" t="s">
        <v>1281</v>
      </c>
      <c r="AG91" s="722" t="s">
        <v>1213</v>
      </c>
      <c r="AH91" s="9" t="s">
        <v>74</v>
      </c>
      <c r="AI91" s="3">
        <v>0.74</v>
      </c>
      <c r="AJ91" s="3">
        <v>0.79</v>
      </c>
      <c r="AK91" s="3">
        <v>0.76500000000000001</v>
      </c>
      <c r="AL91" s="4">
        <v>21.111111111111111</v>
      </c>
      <c r="AM91" s="4">
        <v>28.888888888888889</v>
      </c>
      <c r="AN91" s="9" t="s">
        <v>1198</v>
      </c>
      <c r="AO91" s="256"/>
      <c r="AP91" s="256" t="s">
        <v>1601</v>
      </c>
      <c r="AQ91" s="9"/>
      <c r="AR91" s="9"/>
      <c r="AS91" s="9"/>
      <c r="AT91" s="9"/>
      <c r="AU91" s="309"/>
      <c r="AV91" s="309"/>
      <c r="AW91" s="309"/>
      <c r="AX91" s="309"/>
      <c r="AY91" s="309"/>
      <c r="AZ91" s="309"/>
      <c r="BA91" s="309"/>
      <c r="BB91" s="309"/>
      <c r="BC91" s="309"/>
      <c r="BD91" s="331" t="s">
        <v>1000</v>
      </c>
      <c r="BE91" s="339"/>
      <c r="BF91" s="339"/>
      <c r="BG91" s="340" t="e">
        <f t="shared" si="12"/>
        <v>#DIV/0!</v>
      </c>
      <c r="BH91" s="339"/>
      <c r="BI91" s="339"/>
      <c r="BJ91" s="340" t="e">
        <f t="shared" si="13"/>
        <v>#DIV/0!</v>
      </c>
      <c r="BK91" s="339"/>
      <c r="BL91" s="339"/>
      <c r="BM91" s="340" t="e">
        <f t="shared" si="14"/>
        <v>#DIV/0!</v>
      </c>
      <c r="BN91" s="339"/>
      <c r="BO91" s="339"/>
      <c r="BP91" s="340" t="e">
        <f t="shared" si="15"/>
        <v>#DIV/0!</v>
      </c>
      <c r="BQ91" s="339"/>
      <c r="BR91" s="339"/>
      <c r="BS91" s="340" t="e">
        <f t="shared" si="16"/>
        <v>#DIV/0!</v>
      </c>
      <c r="BT91" s="339"/>
      <c r="BU91" s="339"/>
      <c r="BV91" s="340" t="e">
        <f t="shared" si="17"/>
        <v>#DIV/0!</v>
      </c>
      <c r="BW91" s="1165"/>
      <c r="BX91" s="1166"/>
      <c r="BY91" s="342" t="str">
        <f t="shared" si="9"/>
        <v>NA</v>
      </c>
      <c r="BZ91" s="341" t="e">
        <f t="shared" si="10"/>
        <v>#DIV/0!</v>
      </c>
      <c r="CA91" s="341" t="e">
        <f t="shared" si="11"/>
        <v>#DIV/0!</v>
      </c>
      <c r="CB91" s="335"/>
      <c r="CC91" s="336"/>
      <c r="CD91" s="336"/>
      <c r="CE91" s="309"/>
      <c r="CH91" s="309"/>
    </row>
    <row r="92" spans="1:86" ht="45" customHeight="1">
      <c r="I92" s="736"/>
      <c r="J92" s="19"/>
      <c r="K92" s="19"/>
      <c r="L92" s="19"/>
      <c r="M92" s="19"/>
      <c r="N92" s="19"/>
      <c r="O92" s="19"/>
      <c r="P92" s="622"/>
      <c r="R92" s="267" t="s">
        <v>101</v>
      </c>
      <c r="S92" s="22" t="s">
        <v>87</v>
      </c>
      <c r="T92" s="22" t="s">
        <v>841</v>
      </c>
      <c r="U92" s="244">
        <v>0.13</v>
      </c>
      <c r="V92" s="22" t="s">
        <v>121</v>
      </c>
      <c r="W92" s="23" t="s">
        <v>419</v>
      </c>
      <c r="X92" s="23" t="s">
        <v>1903</v>
      </c>
      <c r="Y92" s="268" t="s">
        <v>420</v>
      </c>
      <c r="Z92" s="19"/>
      <c r="AA92" s="19"/>
      <c r="AB92" s="19"/>
      <c r="AC92" s="19"/>
      <c r="AD92" s="19"/>
      <c r="AE92" s="19"/>
      <c r="AF92" s="264" t="s">
        <v>1282</v>
      </c>
      <c r="AG92" s="722" t="s">
        <v>1213</v>
      </c>
      <c r="AH92" s="9" t="s">
        <v>74</v>
      </c>
      <c r="AI92" s="3">
        <v>0.73</v>
      </c>
      <c r="AJ92" s="3">
        <v>0.77</v>
      </c>
      <c r="AK92" s="3">
        <v>0.75</v>
      </c>
      <c r="AL92" s="4">
        <v>7.2222222222222223</v>
      </c>
      <c r="AM92" s="4">
        <v>20</v>
      </c>
      <c r="AN92" s="9" t="s">
        <v>1188</v>
      </c>
      <c r="AO92" s="256"/>
      <c r="AP92" s="256" t="s">
        <v>1602</v>
      </c>
      <c r="AQ92" s="9"/>
      <c r="AR92" s="9"/>
      <c r="AS92" s="9"/>
      <c r="AT92" s="9"/>
      <c r="AU92" s="309"/>
      <c r="AV92" s="309"/>
      <c r="AW92" s="309"/>
      <c r="AX92" s="309"/>
      <c r="AY92" s="309"/>
      <c r="AZ92" s="309"/>
      <c r="BA92" s="309"/>
      <c r="BB92" s="309"/>
      <c r="BC92" s="309"/>
      <c r="BD92" s="326" t="s">
        <v>1001</v>
      </c>
      <c r="BE92" s="339"/>
      <c r="BF92" s="339"/>
      <c r="BG92" s="340" t="e">
        <f t="shared" si="12"/>
        <v>#DIV/0!</v>
      </c>
      <c r="BH92" s="339"/>
      <c r="BI92" s="339"/>
      <c r="BJ92" s="340" t="e">
        <f t="shared" si="13"/>
        <v>#DIV/0!</v>
      </c>
      <c r="BK92" s="339"/>
      <c r="BL92" s="339"/>
      <c r="BM92" s="340" t="e">
        <f t="shared" si="14"/>
        <v>#DIV/0!</v>
      </c>
      <c r="BN92" s="339"/>
      <c r="BO92" s="339"/>
      <c r="BP92" s="340" t="e">
        <f t="shared" si="15"/>
        <v>#DIV/0!</v>
      </c>
      <c r="BQ92" s="339"/>
      <c r="BR92" s="339"/>
      <c r="BS92" s="340" t="e">
        <f t="shared" si="16"/>
        <v>#DIV/0!</v>
      </c>
      <c r="BT92" s="339"/>
      <c r="BU92" s="339"/>
      <c r="BV92" s="340" t="e">
        <f t="shared" si="17"/>
        <v>#DIV/0!</v>
      </c>
      <c r="BW92" s="1165"/>
      <c r="BX92" s="1166"/>
      <c r="BY92" s="342" t="str">
        <f t="shared" si="9"/>
        <v>NA</v>
      </c>
      <c r="BZ92" s="341" t="e">
        <f t="shared" si="10"/>
        <v>#DIV/0!</v>
      </c>
      <c r="CA92" s="341" t="e">
        <f t="shared" si="11"/>
        <v>#DIV/0!</v>
      </c>
      <c r="CB92" s="335"/>
      <c r="CC92" s="336"/>
      <c r="CD92" s="336"/>
      <c r="CE92" s="309"/>
      <c r="CH92" s="309"/>
    </row>
    <row r="93" spans="1:86" ht="45" customHeight="1">
      <c r="I93" s="736"/>
      <c r="J93" s="19"/>
      <c r="K93" s="19"/>
      <c r="L93" s="19"/>
      <c r="M93" s="19"/>
      <c r="N93" s="19"/>
      <c r="O93" s="19"/>
      <c r="R93" s="267" t="s">
        <v>168</v>
      </c>
      <c r="S93" s="22" t="s">
        <v>82</v>
      </c>
      <c r="T93" s="22" t="s">
        <v>841</v>
      </c>
      <c r="U93" s="244">
        <v>0.11</v>
      </c>
      <c r="V93" s="22" t="s">
        <v>233</v>
      </c>
      <c r="W93" s="24" t="s">
        <v>388</v>
      </c>
      <c r="X93" s="23" t="s">
        <v>421</v>
      </c>
      <c r="Y93" s="268" t="s">
        <v>422</v>
      </c>
      <c r="Z93" s="19"/>
      <c r="AA93" s="19"/>
      <c r="AB93" s="19"/>
      <c r="AC93" s="19"/>
      <c r="AD93" s="19"/>
      <c r="AE93" s="19"/>
      <c r="AF93" s="264" t="s">
        <v>1283</v>
      </c>
      <c r="AG93" s="722" t="s">
        <v>1244</v>
      </c>
      <c r="AH93" s="9" t="s">
        <v>72</v>
      </c>
      <c r="AI93" s="3"/>
      <c r="AJ93" s="3"/>
      <c r="AK93" s="3"/>
      <c r="AL93" s="4">
        <v>10</v>
      </c>
      <c r="AM93" s="4">
        <v>15</v>
      </c>
      <c r="AN93" s="9" t="s">
        <v>1186</v>
      </c>
      <c r="AO93" s="256"/>
      <c r="AP93" s="256" t="s">
        <v>1603</v>
      </c>
      <c r="AQ93" s="9"/>
      <c r="AR93" s="9"/>
      <c r="AS93" s="9"/>
      <c r="AT93" s="9"/>
      <c r="AU93" s="309"/>
      <c r="AV93" s="309"/>
      <c r="AW93" s="309"/>
      <c r="AX93" s="309"/>
      <c r="AY93" s="309"/>
      <c r="AZ93" s="309"/>
      <c r="BA93" s="309"/>
      <c r="BB93" s="309"/>
      <c r="BC93" s="309"/>
      <c r="BD93" s="331" t="s">
        <v>1002</v>
      </c>
      <c r="BE93" s="339">
        <v>50</v>
      </c>
      <c r="BF93" s="339">
        <v>100</v>
      </c>
      <c r="BG93" s="340">
        <f t="shared" si="12"/>
        <v>75</v>
      </c>
      <c r="BH93" s="339">
        <v>100</v>
      </c>
      <c r="BI93" s="339">
        <v>400</v>
      </c>
      <c r="BJ93" s="340">
        <f t="shared" si="13"/>
        <v>250</v>
      </c>
      <c r="BK93" s="339">
        <v>50</v>
      </c>
      <c r="BL93" s="339">
        <v>150</v>
      </c>
      <c r="BM93" s="340">
        <f t="shared" si="14"/>
        <v>100</v>
      </c>
      <c r="BN93" s="339">
        <v>0</v>
      </c>
      <c r="BO93" s="339">
        <v>20</v>
      </c>
      <c r="BP93" s="340">
        <f t="shared" si="15"/>
        <v>10</v>
      </c>
      <c r="BQ93" s="339">
        <v>0</v>
      </c>
      <c r="BR93" s="339">
        <v>100</v>
      </c>
      <c r="BS93" s="340">
        <f t="shared" si="16"/>
        <v>50</v>
      </c>
      <c r="BT93" s="339">
        <v>50</v>
      </c>
      <c r="BU93" s="339">
        <v>150</v>
      </c>
      <c r="BV93" s="340">
        <f t="shared" si="17"/>
        <v>100</v>
      </c>
      <c r="BW93" s="1165"/>
      <c r="BX93" s="1166"/>
      <c r="BY93" s="342">
        <f t="shared" si="9"/>
        <v>2</v>
      </c>
      <c r="BZ93" s="341">
        <f t="shared" si="10"/>
        <v>81.967213114754102</v>
      </c>
      <c r="CA93" s="341">
        <f t="shared" si="11"/>
        <v>46.252927400468387</v>
      </c>
      <c r="CB93" s="335"/>
      <c r="CC93" s="336"/>
      <c r="CD93" s="336"/>
      <c r="CE93" s="309"/>
      <c r="CH93" s="309"/>
    </row>
    <row r="94" spans="1:86" ht="45" customHeight="1">
      <c r="I94" s="736"/>
      <c r="J94" s="19"/>
      <c r="K94" s="19"/>
      <c r="L94" s="19"/>
      <c r="M94" s="19"/>
      <c r="N94" s="19"/>
      <c r="O94" s="19"/>
      <c r="R94" s="267" t="s">
        <v>169</v>
      </c>
      <c r="S94" s="22" t="s">
        <v>87</v>
      </c>
      <c r="T94" s="22" t="s">
        <v>841</v>
      </c>
      <c r="U94" s="244">
        <v>0.09</v>
      </c>
      <c r="V94" s="22" t="s">
        <v>83</v>
      </c>
      <c r="W94" s="24" t="s">
        <v>423</v>
      </c>
      <c r="X94" s="23" t="s">
        <v>424</v>
      </c>
      <c r="Y94" s="268" t="s">
        <v>425</v>
      </c>
      <c r="Z94" s="19"/>
      <c r="AA94" s="19"/>
      <c r="AB94" s="19"/>
      <c r="AC94" s="19"/>
      <c r="AD94" s="19"/>
      <c r="AE94" s="19"/>
      <c r="AF94" s="264" t="s">
        <v>1284</v>
      </c>
      <c r="AG94" s="722" t="s">
        <v>1205</v>
      </c>
      <c r="AH94" s="9" t="s">
        <v>74</v>
      </c>
      <c r="AI94" s="3">
        <v>0.75</v>
      </c>
      <c r="AJ94" s="3">
        <v>0.8</v>
      </c>
      <c r="AK94" s="3">
        <v>0.77500000000000002</v>
      </c>
      <c r="AL94" s="4">
        <v>22.222222222222221</v>
      </c>
      <c r="AM94" s="4">
        <v>25</v>
      </c>
      <c r="AN94" s="9" t="s">
        <v>1188</v>
      </c>
      <c r="AO94" s="256"/>
      <c r="AP94" s="256" t="s">
        <v>1604</v>
      </c>
      <c r="AQ94" s="9"/>
      <c r="AR94" s="9"/>
      <c r="AS94" s="9"/>
      <c r="AT94" s="9"/>
      <c r="AU94" s="309"/>
      <c r="AV94" s="309"/>
      <c r="AW94" s="309"/>
      <c r="AX94" s="309"/>
      <c r="AY94" s="309"/>
      <c r="AZ94" s="309"/>
      <c r="BA94" s="309"/>
      <c r="BB94" s="309"/>
      <c r="BC94" s="309"/>
      <c r="BD94" s="331" t="s">
        <v>1003</v>
      </c>
      <c r="BE94" s="339"/>
      <c r="BF94" s="339"/>
      <c r="BG94" s="340" t="e">
        <f t="shared" si="12"/>
        <v>#DIV/0!</v>
      </c>
      <c r="BH94" s="339"/>
      <c r="BI94" s="339"/>
      <c r="BJ94" s="340" t="e">
        <f t="shared" si="13"/>
        <v>#DIV/0!</v>
      </c>
      <c r="BK94" s="339"/>
      <c r="BL94" s="339"/>
      <c r="BM94" s="340" t="e">
        <f t="shared" si="14"/>
        <v>#DIV/0!</v>
      </c>
      <c r="BN94" s="339"/>
      <c r="BO94" s="339"/>
      <c r="BP94" s="340" t="e">
        <f t="shared" si="15"/>
        <v>#DIV/0!</v>
      </c>
      <c r="BQ94" s="339"/>
      <c r="BR94" s="339"/>
      <c r="BS94" s="340" t="e">
        <f t="shared" si="16"/>
        <v>#DIV/0!</v>
      </c>
      <c r="BT94" s="339"/>
      <c r="BU94" s="339"/>
      <c r="BV94" s="340" t="e">
        <f t="shared" si="17"/>
        <v>#DIV/0!</v>
      </c>
      <c r="BW94" s="1165"/>
      <c r="BX94" s="1166"/>
      <c r="BY94" s="342" t="str">
        <f t="shared" si="9"/>
        <v>NA</v>
      </c>
      <c r="BZ94" s="341" t="e">
        <f t="shared" si="10"/>
        <v>#DIV/0!</v>
      </c>
      <c r="CA94" s="341" t="e">
        <f t="shared" si="11"/>
        <v>#DIV/0!</v>
      </c>
      <c r="CB94" s="335"/>
      <c r="CC94" s="336"/>
      <c r="CD94" s="336"/>
      <c r="CE94" s="309"/>
      <c r="CH94" s="309"/>
    </row>
    <row r="95" spans="1:86" ht="45" customHeight="1">
      <c r="I95" s="736"/>
      <c r="J95" s="19"/>
      <c r="K95" s="19"/>
      <c r="L95" s="19"/>
      <c r="M95" s="19"/>
      <c r="N95" s="19"/>
      <c r="O95" s="19"/>
      <c r="R95" s="267" t="s">
        <v>426</v>
      </c>
      <c r="S95" s="22" t="s">
        <v>87</v>
      </c>
      <c r="T95" s="22" t="s">
        <v>841</v>
      </c>
      <c r="U95" s="244">
        <v>0.08</v>
      </c>
      <c r="V95" s="22" t="s">
        <v>99</v>
      </c>
      <c r="W95" s="23" t="s">
        <v>243</v>
      </c>
      <c r="X95" s="23" t="s">
        <v>427</v>
      </c>
      <c r="Y95" s="268" t="s">
        <v>428</v>
      </c>
      <c r="Z95" s="19"/>
      <c r="AA95" s="19"/>
      <c r="AB95" s="19"/>
      <c r="AC95" s="19"/>
      <c r="AD95" s="19"/>
      <c r="AE95" s="19"/>
      <c r="AF95" s="264" t="s">
        <v>1285</v>
      </c>
      <c r="AG95" s="722" t="s">
        <v>1236</v>
      </c>
      <c r="AH95" s="9" t="s">
        <v>74</v>
      </c>
      <c r="AI95" s="3"/>
      <c r="AJ95" s="3"/>
      <c r="AK95" s="3"/>
      <c r="AL95" s="4" t="e">
        <v>#VALUE!</v>
      </c>
      <c r="AM95" s="4">
        <v>-17.777777777777779</v>
      </c>
      <c r="AN95" s="9"/>
      <c r="AO95" s="256"/>
      <c r="AP95" s="256" t="s">
        <v>1605</v>
      </c>
      <c r="AQ95" s="9"/>
      <c r="AR95" s="9"/>
      <c r="AS95" s="9"/>
      <c r="AT95" s="9"/>
      <c r="AU95" s="309"/>
      <c r="AV95" s="309"/>
      <c r="AW95" s="309"/>
      <c r="AX95" s="309"/>
      <c r="AY95" s="309"/>
      <c r="AZ95" s="309"/>
      <c r="BA95" s="309"/>
      <c r="BB95" s="309"/>
      <c r="BC95" s="309"/>
      <c r="BD95" s="331" t="s">
        <v>1004</v>
      </c>
      <c r="BE95" s="339">
        <v>50</v>
      </c>
      <c r="BF95" s="339">
        <v>150</v>
      </c>
      <c r="BG95" s="340">
        <f t="shared" si="12"/>
        <v>100</v>
      </c>
      <c r="BH95" s="339">
        <v>150</v>
      </c>
      <c r="BI95" s="339">
        <v>300</v>
      </c>
      <c r="BJ95" s="340">
        <f t="shared" si="13"/>
        <v>225</v>
      </c>
      <c r="BK95" s="339">
        <v>50</v>
      </c>
      <c r="BL95" s="339">
        <v>150</v>
      </c>
      <c r="BM95" s="340">
        <f t="shared" si="14"/>
        <v>100</v>
      </c>
      <c r="BN95" s="339">
        <v>0</v>
      </c>
      <c r="BO95" s="339">
        <v>10</v>
      </c>
      <c r="BP95" s="340">
        <f t="shared" si="15"/>
        <v>5</v>
      </c>
      <c r="BQ95" s="339">
        <v>0</v>
      </c>
      <c r="BR95" s="339">
        <v>50</v>
      </c>
      <c r="BS95" s="340">
        <f t="shared" si="16"/>
        <v>25</v>
      </c>
      <c r="BT95" s="339">
        <v>0</v>
      </c>
      <c r="BU95" s="339">
        <v>50</v>
      </c>
      <c r="BV95" s="340">
        <f t="shared" si="17"/>
        <v>25</v>
      </c>
      <c r="BW95" s="1165"/>
      <c r="BX95" s="1166"/>
      <c r="BY95" s="342">
        <f t="shared" si="9"/>
        <v>3</v>
      </c>
      <c r="BZ95" s="341">
        <f t="shared" si="10"/>
        <v>20.491803278688526</v>
      </c>
      <c r="CA95" s="341">
        <f t="shared" si="11"/>
        <v>-15.22248243559719</v>
      </c>
      <c r="CB95" s="335"/>
      <c r="CC95" s="336"/>
      <c r="CD95" s="336"/>
      <c r="CE95" s="309"/>
      <c r="CH95" s="309"/>
    </row>
    <row r="96" spans="1:86" ht="45" customHeight="1">
      <c r="I96" s="736"/>
      <c r="J96" s="19"/>
      <c r="K96" s="19"/>
      <c r="L96" s="19"/>
      <c r="M96" s="19"/>
      <c r="N96" s="19"/>
      <c r="O96" s="19"/>
      <c r="R96" s="267" t="s">
        <v>429</v>
      </c>
      <c r="S96" s="22" t="s">
        <v>87</v>
      </c>
      <c r="T96" s="22" t="s">
        <v>841</v>
      </c>
      <c r="U96" s="244">
        <v>0.09</v>
      </c>
      <c r="V96" s="22" t="s">
        <v>233</v>
      </c>
      <c r="W96" s="23" t="s">
        <v>430</v>
      </c>
      <c r="X96" s="23" t="s">
        <v>431</v>
      </c>
      <c r="Y96" s="268" t="s">
        <v>432</v>
      </c>
      <c r="Z96" s="19"/>
      <c r="AA96" s="19"/>
      <c r="AB96" s="19"/>
      <c r="AC96" s="19"/>
      <c r="AD96" s="19"/>
      <c r="AE96" s="19"/>
      <c r="AF96" s="264" t="s">
        <v>1286</v>
      </c>
      <c r="AG96" s="722" t="s">
        <v>1208</v>
      </c>
      <c r="AH96" s="9" t="s">
        <v>74</v>
      </c>
      <c r="AI96" s="3">
        <v>0.78</v>
      </c>
      <c r="AJ96" s="3">
        <v>0.88</v>
      </c>
      <c r="AK96" s="3">
        <v>0.83</v>
      </c>
      <c r="AL96" s="4">
        <v>20</v>
      </c>
      <c r="AM96" s="4">
        <v>26.666666666666668</v>
      </c>
      <c r="AN96" s="9" t="s">
        <v>1287</v>
      </c>
      <c r="AO96" s="256"/>
      <c r="AP96" s="256" t="s">
        <v>1606</v>
      </c>
      <c r="AQ96" s="9"/>
      <c r="AR96" s="9"/>
      <c r="AS96" s="9"/>
      <c r="AT96" s="9"/>
      <c r="AU96" s="309"/>
      <c r="AV96" s="309"/>
      <c r="AW96" s="309"/>
      <c r="AX96" s="309"/>
      <c r="AY96" s="309"/>
      <c r="AZ96" s="309"/>
      <c r="BA96" s="309"/>
      <c r="BB96" s="309"/>
      <c r="BC96" s="309"/>
      <c r="BD96" s="331" t="s">
        <v>1005</v>
      </c>
      <c r="BE96" s="339"/>
      <c r="BF96" s="339"/>
      <c r="BG96" s="340" t="e">
        <f t="shared" si="12"/>
        <v>#DIV/0!</v>
      </c>
      <c r="BH96" s="339"/>
      <c r="BI96" s="339"/>
      <c r="BJ96" s="340" t="e">
        <f t="shared" si="13"/>
        <v>#DIV/0!</v>
      </c>
      <c r="BK96" s="339"/>
      <c r="BL96" s="339"/>
      <c r="BM96" s="340" t="e">
        <f t="shared" si="14"/>
        <v>#DIV/0!</v>
      </c>
      <c r="BN96" s="339"/>
      <c r="BO96" s="339"/>
      <c r="BP96" s="340" t="e">
        <f t="shared" si="15"/>
        <v>#DIV/0!</v>
      </c>
      <c r="BQ96" s="339"/>
      <c r="BR96" s="339"/>
      <c r="BS96" s="340" t="e">
        <f t="shared" si="16"/>
        <v>#DIV/0!</v>
      </c>
      <c r="BT96" s="339"/>
      <c r="BU96" s="339"/>
      <c r="BV96" s="340" t="e">
        <f t="shared" si="17"/>
        <v>#DIV/0!</v>
      </c>
      <c r="BW96" s="1165"/>
      <c r="BX96" s="1166"/>
      <c r="BY96" s="342" t="str">
        <f t="shared" si="9"/>
        <v>NA</v>
      </c>
      <c r="BZ96" s="341" t="e">
        <f t="shared" si="10"/>
        <v>#DIV/0!</v>
      </c>
      <c r="CA96" s="341" t="e">
        <f t="shared" si="11"/>
        <v>#DIV/0!</v>
      </c>
      <c r="CB96" s="335"/>
      <c r="CC96" s="336"/>
      <c r="CD96" s="336"/>
      <c r="CE96" s="309"/>
      <c r="CH96" s="309"/>
    </row>
    <row r="97" spans="9:86" ht="45" customHeight="1">
      <c r="I97" s="736"/>
      <c r="J97" s="19"/>
      <c r="K97" s="19"/>
      <c r="L97" s="19"/>
      <c r="M97" s="19"/>
      <c r="N97" s="19"/>
      <c r="O97" s="19"/>
      <c r="R97" s="267" t="s">
        <v>433</v>
      </c>
      <c r="S97" s="22" t="s">
        <v>82</v>
      </c>
      <c r="T97" s="22" t="s">
        <v>841</v>
      </c>
      <c r="U97" s="244">
        <v>0.15</v>
      </c>
      <c r="V97" s="22" t="s">
        <v>233</v>
      </c>
      <c r="W97" s="23" t="s">
        <v>434</v>
      </c>
      <c r="X97" s="23" t="s">
        <v>435</v>
      </c>
      <c r="Y97" s="268" t="s">
        <v>436</v>
      </c>
      <c r="Z97" s="19"/>
      <c r="AA97" s="19"/>
      <c r="AB97" s="19"/>
      <c r="AC97" s="19"/>
      <c r="AD97" s="19"/>
      <c r="AE97" s="19"/>
      <c r="AF97" s="264" t="s">
        <v>1288</v>
      </c>
      <c r="AG97" s="722" t="s">
        <v>1208</v>
      </c>
      <c r="AH97" s="9" t="s">
        <v>74</v>
      </c>
      <c r="AI97" s="3">
        <v>0.85</v>
      </c>
      <c r="AJ97" s="3">
        <v>1</v>
      </c>
      <c r="AK97" s="3">
        <v>0.92500000000000004</v>
      </c>
      <c r="AL97" s="4">
        <v>20</v>
      </c>
      <c r="AM97" s="4">
        <v>26.666666666666668</v>
      </c>
      <c r="AN97" s="9" t="s">
        <v>1287</v>
      </c>
      <c r="AO97" s="256"/>
      <c r="AP97" s="256" t="s">
        <v>1607</v>
      </c>
      <c r="AQ97" s="9"/>
      <c r="AR97" s="9"/>
      <c r="AS97" s="9"/>
      <c r="AT97" s="9"/>
      <c r="AU97" s="309"/>
      <c r="AV97" s="309"/>
      <c r="AW97" s="309"/>
      <c r="AX97" s="309"/>
      <c r="AY97" s="309"/>
      <c r="AZ97" s="309"/>
      <c r="BA97" s="309"/>
      <c r="BB97" s="309"/>
      <c r="BC97" s="309"/>
      <c r="BD97" s="331" t="s">
        <v>1006</v>
      </c>
      <c r="BE97" s="339"/>
      <c r="BF97" s="339"/>
      <c r="BG97" s="340" t="e">
        <f t="shared" si="12"/>
        <v>#DIV/0!</v>
      </c>
      <c r="BH97" s="339"/>
      <c r="BI97" s="339"/>
      <c r="BJ97" s="340" t="e">
        <f t="shared" si="13"/>
        <v>#DIV/0!</v>
      </c>
      <c r="BK97" s="339"/>
      <c r="BL97" s="339"/>
      <c r="BM97" s="340" t="e">
        <f t="shared" si="14"/>
        <v>#DIV/0!</v>
      </c>
      <c r="BN97" s="339"/>
      <c r="BO97" s="339"/>
      <c r="BP97" s="340" t="e">
        <f t="shared" si="15"/>
        <v>#DIV/0!</v>
      </c>
      <c r="BQ97" s="339"/>
      <c r="BR97" s="339"/>
      <c r="BS97" s="340" t="e">
        <f t="shared" si="16"/>
        <v>#DIV/0!</v>
      </c>
      <c r="BT97" s="339"/>
      <c r="BU97" s="339"/>
      <c r="BV97" s="340" t="e">
        <f t="shared" si="17"/>
        <v>#DIV/0!</v>
      </c>
      <c r="BW97" s="1165"/>
      <c r="BX97" s="1166"/>
      <c r="BY97" s="342" t="str">
        <f t="shared" si="9"/>
        <v>NA</v>
      </c>
      <c r="BZ97" s="341" t="e">
        <f t="shared" si="10"/>
        <v>#DIV/0!</v>
      </c>
      <c r="CA97" s="341" t="e">
        <f t="shared" si="11"/>
        <v>#DIV/0!</v>
      </c>
      <c r="CB97" s="335"/>
      <c r="CC97" s="336"/>
      <c r="CD97" s="336"/>
      <c r="CE97" s="309"/>
      <c r="CH97" s="309"/>
    </row>
    <row r="98" spans="9:86" ht="45" customHeight="1">
      <c r="I98" s="736"/>
      <c r="J98" s="19"/>
      <c r="K98" s="19"/>
      <c r="L98" s="19"/>
      <c r="M98" s="19"/>
      <c r="N98" s="19"/>
      <c r="O98" s="19"/>
      <c r="R98" s="267" t="s">
        <v>170</v>
      </c>
      <c r="S98" s="22" t="s">
        <v>82</v>
      </c>
      <c r="T98" s="22" t="s">
        <v>841</v>
      </c>
      <c r="U98" s="244">
        <v>0.12</v>
      </c>
      <c r="V98" s="22" t="s">
        <v>233</v>
      </c>
      <c r="W98" s="23" t="s">
        <v>264</v>
      </c>
      <c r="X98" s="24" t="s">
        <v>437</v>
      </c>
      <c r="Y98" s="268" t="s">
        <v>438</v>
      </c>
      <c r="Z98" s="19"/>
      <c r="AA98" s="19"/>
      <c r="AB98" s="19"/>
      <c r="AC98" s="19"/>
      <c r="AD98" s="19"/>
      <c r="AE98" s="19"/>
      <c r="AF98" s="264" t="s">
        <v>1289</v>
      </c>
      <c r="AG98" s="722" t="s">
        <v>1208</v>
      </c>
      <c r="AH98" s="9" t="s">
        <v>74</v>
      </c>
      <c r="AI98" s="3">
        <v>0.85</v>
      </c>
      <c r="AJ98" s="3">
        <v>1</v>
      </c>
      <c r="AK98" s="3">
        <v>0.92500000000000004</v>
      </c>
      <c r="AL98" s="4">
        <v>20</v>
      </c>
      <c r="AM98" s="4">
        <v>26.666666666666668</v>
      </c>
      <c r="AN98" s="9" t="s">
        <v>1287</v>
      </c>
      <c r="AO98" s="256"/>
      <c r="AP98" s="256" t="s">
        <v>1608</v>
      </c>
      <c r="AQ98" s="9"/>
      <c r="AR98" s="9"/>
      <c r="AS98" s="9"/>
      <c r="AT98" s="9"/>
      <c r="AU98" s="309"/>
      <c r="AV98" s="309"/>
      <c r="AW98" s="309"/>
      <c r="AX98" s="309"/>
      <c r="AY98" s="309"/>
      <c r="AZ98" s="309"/>
      <c r="BA98" s="309"/>
      <c r="BB98" s="309"/>
      <c r="BC98" s="309"/>
      <c r="BD98" s="331" t="s">
        <v>1007</v>
      </c>
      <c r="BE98" s="339"/>
      <c r="BF98" s="339"/>
      <c r="BG98" s="340" t="e">
        <f t="shared" si="12"/>
        <v>#DIV/0!</v>
      </c>
      <c r="BH98" s="339"/>
      <c r="BI98" s="339"/>
      <c r="BJ98" s="340" t="e">
        <f t="shared" si="13"/>
        <v>#DIV/0!</v>
      </c>
      <c r="BK98" s="339"/>
      <c r="BL98" s="339"/>
      <c r="BM98" s="340" t="e">
        <f t="shared" si="14"/>
        <v>#DIV/0!</v>
      </c>
      <c r="BN98" s="339"/>
      <c r="BO98" s="339"/>
      <c r="BP98" s="340" t="e">
        <f t="shared" si="15"/>
        <v>#DIV/0!</v>
      </c>
      <c r="BQ98" s="339"/>
      <c r="BR98" s="339"/>
      <c r="BS98" s="340" t="e">
        <f t="shared" si="16"/>
        <v>#DIV/0!</v>
      </c>
      <c r="BT98" s="339"/>
      <c r="BU98" s="339"/>
      <c r="BV98" s="340" t="e">
        <f t="shared" si="17"/>
        <v>#DIV/0!</v>
      </c>
      <c r="BW98" s="1165"/>
      <c r="BX98" s="1166"/>
      <c r="BY98" s="342" t="str">
        <f t="shared" si="9"/>
        <v>NA</v>
      </c>
      <c r="BZ98" s="341" t="e">
        <f t="shared" si="10"/>
        <v>#DIV/0!</v>
      </c>
      <c r="CA98" s="341" t="e">
        <f t="shared" si="11"/>
        <v>#DIV/0!</v>
      </c>
      <c r="CB98" s="335"/>
      <c r="CC98" s="336"/>
      <c r="CD98" s="336"/>
      <c r="CE98" s="309"/>
      <c r="CH98" s="309"/>
    </row>
    <row r="99" spans="9:86" ht="45" customHeight="1">
      <c r="I99" s="736"/>
      <c r="J99" s="19"/>
      <c r="K99" s="19"/>
      <c r="L99" s="19"/>
      <c r="M99" s="19"/>
      <c r="N99" s="19"/>
      <c r="O99" s="19"/>
      <c r="R99" s="267" t="s">
        <v>171</v>
      </c>
      <c r="S99" s="22" t="s">
        <v>87</v>
      </c>
      <c r="T99" s="22" t="s">
        <v>841</v>
      </c>
      <c r="U99" s="244">
        <v>0.1</v>
      </c>
      <c r="V99" s="22" t="s">
        <v>83</v>
      </c>
      <c r="W99" s="23" t="s">
        <v>348</v>
      </c>
      <c r="X99" s="23" t="s">
        <v>439</v>
      </c>
      <c r="Y99" s="269" t="s">
        <v>172</v>
      </c>
      <c r="Z99" s="19"/>
      <c r="AA99" s="19"/>
      <c r="AB99" s="19"/>
      <c r="AC99" s="19"/>
      <c r="AD99" s="19"/>
      <c r="AE99" s="19"/>
      <c r="AF99" s="264" t="s">
        <v>1290</v>
      </c>
      <c r="AG99" s="722" t="s">
        <v>1236</v>
      </c>
      <c r="AH99" s="9" t="s">
        <v>74</v>
      </c>
      <c r="AI99" s="3"/>
      <c r="AJ99" s="3"/>
      <c r="AK99" s="3"/>
      <c r="AL99" s="4" t="e">
        <v>#VALUE!</v>
      </c>
      <c r="AM99" s="4">
        <v>-17.777777777777779</v>
      </c>
      <c r="AN99" s="9"/>
      <c r="AO99" s="256"/>
      <c r="AP99" s="256" t="s">
        <v>1609</v>
      </c>
      <c r="AQ99" s="9"/>
      <c r="AR99" s="9"/>
      <c r="AS99" s="9"/>
      <c r="AT99" s="9"/>
      <c r="AU99" s="309"/>
      <c r="AV99" s="309"/>
      <c r="AW99" s="309"/>
      <c r="AX99" s="309"/>
      <c r="AY99" s="309"/>
      <c r="AZ99" s="309"/>
      <c r="BA99" s="309"/>
      <c r="BB99" s="309"/>
      <c r="BC99" s="309"/>
      <c r="BD99" s="331" t="s">
        <v>1008</v>
      </c>
      <c r="BE99" s="339"/>
      <c r="BF99" s="339"/>
      <c r="BG99" s="340" t="e">
        <f t="shared" si="12"/>
        <v>#DIV/0!</v>
      </c>
      <c r="BH99" s="339"/>
      <c r="BI99" s="339"/>
      <c r="BJ99" s="340" t="e">
        <f t="shared" si="13"/>
        <v>#DIV/0!</v>
      </c>
      <c r="BK99" s="339"/>
      <c r="BL99" s="339"/>
      <c r="BM99" s="340" t="e">
        <f t="shared" si="14"/>
        <v>#DIV/0!</v>
      </c>
      <c r="BN99" s="339"/>
      <c r="BO99" s="339"/>
      <c r="BP99" s="340" t="e">
        <f t="shared" si="15"/>
        <v>#DIV/0!</v>
      </c>
      <c r="BQ99" s="339"/>
      <c r="BR99" s="339"/>
      <c r="BS99" s="340" t="e">
        <f t="shared" si="16"/>
        <v>#DIV/0!</v>
      </c>
      <c r="BT99" s="339"/>
      <c r="BU99" s="339"/>
      <c r="BV99" s="340" t="e">
        <f t="shared" si="17"/>
        <v>#DIV/0!</v>
      </c>
      <c r="BW99" s="1165"/>
      <c r="BX99" s="1166"/>
      <c r="BY99" s="342" t="str">
        <f t="shared" si="9"/>
        <v>NA</v>
      </c>
      <c r="BZ99" s="341" t="e">
        <f t="shared" si="10"/>
        <v>#DIV/0!</v>
      </c>
      <c r="CA99" s="341" t="e">
        <f t="shared" si="11"/>
        <v>#DIV/0!</v>
      </c>
      <c r="CB99" s="335"/>
      <c r="CC99" s="336"/>
      <c r="CD99" s="336"/>
      <c r="CE99" s="309"/>
      <c r="CH99" s="309"/>
    </row>
    <row r="100" spans="9:86" ht="45" customHeight="1">
      <c r="I100" s="736"/>
      <c r="J100" s="19"/>
      <c r="K100" s="19"/>
      <c r="L100" s="19"/>
      <c r="M100" s="19"/>
      <c r="N100" s="19"/>
      <c r="O100" s="19"/>
      <c r="R100" s="267" t="s">
        <v>173</v>
      </c>
      <c r="S100" s="22" t="s">
        <v>87</v>
      </c>
      <c r="T100" s="22" t="s">
        <v>841</v>
      </c>
      <c r="U100" s="244">
        <v>7.0000000000000007E-2</v>
      </c>
      <c r="V100" s="22" t="s">
        <v>99</v>
      </c>
      <c r="W100" s="23" t="s">
        <v>440</v>
      </c>
      <c r="X100" s="23" t="s">
        <v>441</v>
      </c>
      <c r="Y100" s="268" t="s">
        <v>442</v>
      </c>
      <c r="Z100" s="19"/>
      <c r="AA100" s="19"/>
      <c r="AB100" s="19"/>
      <c r="AC100" s="19"/>
      <c r="AD100" s="19"/>
      <c r="AE100" s="19"/>
      <c r="AF100" s="264" t="s">
        <v>1291</v>
      </c>
      <c r="AG100" s="722" t="s">
        <v>1236</v>
      </c>
      <c r="AH100" s="9" t="s">
        <v>74</v>
      </c>
      <c r="AI100" s="3"/>
      <c r="AJ100" s="3"/>
      <c r="AK100" s="3"/>
      <c r="AL100" s="4">
        <v>15.555555555555555</v>
      </c>
      <c r="AM100" s="4">
        <v>23.333333333333332</v>
      </c>
      <c r="AN100" s="9"/>
      <c r="AO100" s="256"/>
      <c r="AP100" s="256" t="s">
        <v>1610</v>
      </c>
      <c r="AQ100" s="9"/>
      <c r="AR100" s="9"/>
      <c r="AS100" s="9"/>
      <c r="AT100" s="9"/>
      <c r="AU100" s="309"/>
      <c r="AV100" s="309"/>
      <c r="AW100" s="309"/>
      <c r="AX100" s="309"/>
      <c r="AY100" s="309"/>
      <c r="AZ100" s="309"/>
      <c r="BA100" s="309"/>
      <c r="BB100" s="309"/>
      <c r="BC100" s="309"/>
      <c r="BD100" s="331" t="s">
        <v>1009</v>
      </c>
      <c r="BE100" s="339"/>
      <c r="BF100" s="339"/>
      <c r="BG100" s="340" t="e">
        <f t="shared" si="12"/>
        <v>#DIV/0!</v>
      </c>
      <c r="BH100" s="339"/>
      <c r="BI100" s="339"/>
      <c r="BJ100" s="340" t="e">
        <f t="shared" si="13"/>
        <v>#DIV/0!</v>
      </c>
      <c r="BK100" s="339"/>
      <c r="BL100" s="339"/>
      <c r="BM100" s="340" t="e">
        <f t="shared" si="14"/>
        <v>#DIV/0!</v>
      </c>
      <c r="BN100" s="339"/>
      <c r="BO100" s="339"/>
      <c r="BP100" s="340" t="e">
        <f t="shared" si="15"/>
        <v>#DIV/0!</v>
      </c>
      <c r="BQ100" s="339"/>
      <c r="BR100" s="339"/>
      <c r="BS100" s="340" t="e">
        <f t="shared" si="16"/>
        <v>#DIV/0!</v>
      </c>
      <c r="BT100" s="339"/>
      <c r="BU100" s="339"/>
      <c r="BV100" s="340" t="e">
        <f t="shared" si="17"/>
        <v>#DIV/0!</v>
      </c>
      <c r="BW100" s="1165"/>
      <c r="BX100" s="1166"/>
      <c r="BY100" s="342" t="str">
        <f t="shared" si="9"/>
        <v>NA</v>
      </c>
      <c r="BZ100" s="341" t="e">
        <f t="shared" si="10"/>
        <v>#DIV/0!</v>
      </c>
      <c r="CA100" s="341" t="e">
        <f t="shared" si="11"/>
        <v>#DIV/0!</v>
      </c>
      <c r="CB100" s="335"/>
      <c r="CC100" s="336"/>
      <c r="CD100" s="336"/>
      <c r="CE100" s="309"/>
      <c r="CH100" s="309"/>
    </row>
    <row r="101" spans="9:86" ht="45" customHeight="1">
      <c r="I101" s="736"/>
      <c r="J101" s="19"/>
      <c r="K101" s="19"/>
      <c r="L101" s="19"/>
      <c r="M101" s="19"/>
      <c r="N101" s="19"/>
      <c r="O101" s="19"/>
      <c r="R101" s="267" t="s">
        <v>174</v>
      </c>
      <c r="S101" s="22" t="s">
        <v>87</v>
      </c>
      <c r="T101" s="22" t="s">
        <v>841</v>
      </c>
      <c r="U101" s="244">
        <v>0.09</v>
      </c>
      <c r="V101" s="22" t="s">
        <v>99</v>
      </c>
      <c r="W101" s="23" t="s">
        <v>443</v>
      </c>
      <c r="X101" s="24"/>
      <c r="Y101" s="268" t="s">
        <v>280</v>
      </c>
      <c r="Z101" s="19"/>
      <c r="AA101" s="19"/>
      <c r="AB101" s="19"/>
      <c r="AC101" s="19"/>
      <c r="AD101" s="19"/>
      <c r="AE101" s="19"/>
      <c r="AF101" s="264" t="s">
        <v>1292</v>
      </c>
      <c r="AG101" s="722" t="s">
        <v>1236</v>
      </c>
      <c r="AH101" s="9" t="s">
        <v>74</v>
      </c>
      <c r="AI101" s="3"/>
      <c r="AJ101" s="3"/>
      <c r="AK101" s="3"/>
      <c r="AL101" s="4" t="e">
        <v>#VALUE!</v>
      </c>
      <c r="AM101" s="4">
        <v>-17.777777777777779</v>
      </c>
      <c r="AN101" s="9"/>
      <c r="AO101" s="256"/>
      <c r="AP101" s="256" t="s">
        <v>1611</v>
      </c>
      <c r="AQ101" s="9"/>
      <c r="AR101" s="9"/>
      <c r="AS101" s="9"/>
      <c r="AT101" s="9"/>
      <c r="AU101" s="309"/>
      <c r="AV101" s="309"/>
      <c r="AW101" s="309"/>
      <c r="AX101" s="309"/>
      <c r="AY101" s="309"/>
      <c r="AZ101" s="309"/>
      <c r="BA101" s="309"/>
      <c r="BB101" s="309"/>
      <c r="BC101" s="309"/>
      <c r="BD101" s="331" t="s">
        <v>1010</v>
      </c>
      <c r="BE101" s="339"/>
      <c r="BF101" s="339"/>
      <c r="BG101" s="340" t="e">
        <f t="shared" si="12"/>
        <v>#DIV/0!</v>
      </c>
      <c r="BH101" s="339"/>
      <c r="BI101" s="339"/>
      <c r="BJ101" s="340" t="e">
        <f t="shared" si="13"/>
        <v>#DIV/0!</v>
      </c>
      <c r="BK101" s="339"/>
      <c r="BL101" s="339"/>
      <c r="BM101" s="340" t="e">
        <f t="shared" si="14"/>
        <v>#DIV/0!</v>
      </c>
      <c r="BN101" s="339"/>
      <c r="BO101" s="339"/>
      <c r="BP101" s="340" t="e">
        <f t="shared" si="15"/>
        <v>#DIV/0!</v>
      </c>
      <c r="BQ101" s="339"/>
      <c r="BR101" s="339"/>
      <c r="BS101" s="340" t="e">
        <f t="shared" si="16"/>
        <v>#DIV/0!</v>
      </c>
      <c r="BT101" s="339"/>
      <c r="BU101" s="339"/>
      <c r="BV101" s="340" t="e">
        <f t="shared" si="17"/>
        <v>#DIV/0!</v>
      </c>
      <c r="BW101" s="1165"/>
      <c r="BX101" s="1166"/>
      <c r="BY101" s="342" t="str">
        <f t="shared" si="9"/>
        <v>NA</v>
      </c>
      <c r="BZ101" s="341" t="e">
        <f t="shared" si="10"/>
        <v>#DIV/0!</v>
      </c>
      <c r="CA101" s="341" t="e">
        <f t="shared" si="11"/>
        <v>#DIV/0!</v>
      </c>
      <c r="CB101" s="335"/>
      <c r="CC101" s="336"/>
      <c r="CD101" s="336"/>
      <c r="CE101" s="309"/>
      <c r="CH101" s="309"/>
    </row>
    <row r="102" spans="9:86" ht="45" customHeight="1">
      <c r="I102" s="736"/>
      <c r="J102" s="19"/>
      <c r="K102" s="19"/>
      <c r="L102" s="19"/>
      <c r="M102" s="19"/>
      <c r="N102" s="19"/>
      <c r="O102" s="19"/>
      <c r="R102" s="267" t="s">
        <v>175</v>
      </c>
      <c r="S102" s="22" t="s">
        <v>82</v>
      </c>
      <c r="T102" s="22" t="s">
        <v>841</v>
      </c>
      <c r="U102" s="244">
        <v>0.14000000000000001</v>
      </c>
      <c r="V102" s="22" t="s">
        <v>121</v>
      </c>
      <c r="W102" s="23" t="s">
        <v>444</v>
      </c>
      <c r="X102" s="23" t="s">
        <v>445</v>
      </c>
      <c r="Y102" s="268" t="s">
        <v>446</v>
      </c>
      <c r="Z102" s="19"/>
      <c r="AA102" s="19"/>
      <c r="AB102" s="19"/>
      <c r="AC102" s="19"/>
      <c r="AD102" s="19"/>
      <c r="AE102" s="19"/>
      <c r="AF102" s="264" t="s">
        <v>1293</v>
      </c>
      <c r="AG102" s="722" t="s">
        <v>1213</v>
      </c>
      <c r="AH102" s="9" t="s">
        <v>74</v>
      </c>
      <c r="AI102" s="3"/>
      <c r="AJ102" s="3"/>
      <c r="AK102" s="3"/>
      <c r="AL102" s="4">
        <v>15.555555555555555</v>
      </c>
      <c r="AM102" s="4">
        <v>23.888888888888889</v>
      </c>
      <c r="AN102" s="9" t="s">
        <v>1188</v>
      </c>
      <c r="AO102" s="256"/>
      <c r="AP102" s="256" t="s">
        <v>1612</v>
      </c>
      <c r="AQ102" s="9"/>
      <c r="AR102" s="9"/>
      <c r="AS102" s="9"/>
      <c r="AT102" s="9"/>
      <c r="AU102" s="309"/>
      <c r="AV102" s="309"/>
      <c r="AW102" s="309"/>
      <c r="AX102" s="309"/>
      <c r="AY102" s="309"/>
      <c r="AZ102" s="309"/>
      <c r="BA102"/>
      <c r="BB102" s="309"/>
      <c r="BC102" s="309"/>
      <c r="BD102" s="331" t="s">
        <v>1841</v>
      </c>
      <c r="BE102" s="339">
        <v>0</v>
      </c>
      <c r="BF102" s="339">
        <v>400</v>
      </c>
      <c r="BG102" s="340">
        <v>160</v>
      </c>
      <c r="BH102" s="339">
        <v>0</v>
      </c>
      <c r="BI102" s="339">
        <v>150</v>
      </c>
      <c r="BJ102" s="340">
        <v>80</v>
      </c>
      <c r="BK102" s="339">
        <v>50</v>
      </c>
      <c r="BL102" s="339">
        <v>150</v>
      </c>
      <c r="BM102" s="340">
        <v>100</v>
      </c>
      <c r="BN102" s="339">
        <v>0</v>
      </c>
      <c r="BO102" s="339">
        <v>20</v>
      </c>
      <c r="BP102" s="340">
        <v>18</v>
      </c>
      <c r="BQ102" s="339">
        <v>0</v>
      </c>
      <c r="BR102" s="339">
        <v>50</v>
      </c>
      <c r="BS102" s="340">
        <v>16</v>
      </c>
      <c r="BT102" s="339">
        <v>0</v>
      </c>
      <c r="BU102" s="339">
        <v>100</v>
      </c>
      <c r="BV102" s="340">
        <v>0</v>
      </c>
      <c r="BW102" s="1165"/>
      <c r="BX102" s="1166"/>
      <c r="BY102" s="342" t="str">
        <f t="shared" si="9"/>
        <v>NA</v>
      </c>
      <c r="BZ102" s="341">
        <f t="shared" si="10"/>
        <v>0</v>
      </c>
      <c r="CA102" s="341">
        <f t="shared" si="11"/>
        <v>-35.714285714285715</v>
      </c>
      <c r="CB102" s="335"/>
      <c r="CC102" s="336"/>
      <c r="CD102" s="336"/>
      <c r="CE102" s="309"/>
      <c r="CH102" s="309"/>
    </row>
    <row r="103" spans="9:86" ht="45" customHeight="1">
      <c r="I103" s="736"/>
      <c r="J103" s="19"/>
      <c r="K103" s="19"/>
      <c r="L103" s="19"/>
      <c r="M103" s="19"/>
      <c r="N103" s="19"/>
      <c r="O103" s="19"/>
      <c r="R103" s="267" t="s">
        <v>176</v>
      </c>
      <c r="S103" s="22" t="s">
        <v>87</v>
      </c>
      <c r="T103" s="22" t="s">
        <v>841</v>
      </c>
      <c r="U103" s="244">
        <v>0.13</v>
      </c>
      <c r="V103" s="22" t="s">
        <v>121</v>
      </c>
      <c r="W103" s="23" t="s">
        <v>447</v>
      </c>
      <c r="X103" s="23" t="s">
        <v>448</v>
      </c>
      <c r="Y103" s="269" t="s">
        <v>139</v>
      </c>
      <c r="Z103" s="19"/>
      <c r="AA103" s="19"/>
      <c r="AB103" s="19"/>
      <c r="AC103" s="19"/>
      <c r="AD103" s="19"/>
      <c r="AE103" s="19"/>
      <c r="AF103" s="264" t="s">
        <v>1294</v>
      </c>
      <c r="AG103" s="722" t="s">
        <v>1213</v>
      </c>
      <c r="AH103" s="9" t="s">
        <v>74</v>
      </c>
      <c r="AI103" s="3"/>
      <c r="AJ103" s="3"/>
      <c r="AK103" s="3"/>
      <c r="AL103" s="4">
        <v>15.555555555555555</v>
      </c>
      <c r="AM103" s="4">
        <v>23.888888888888889</v>
      </c>
      <c r="AN103" s="9" t="s">
        <v>1188</v>
      </c>
      <c r="AO103" s="256"/>
      <c r="AP103" s="256" t="s">
        <v>1613</v>
      </c>
      <c r="AQ103" s="9"/>
      <c r="AR103" s="9"/>
      <c r="AS103" s="9"/>
      <c r="AT103" s="9"/>
      <c r="AU103" s="309"/>
      <c r="AV103" s="309"/>
      <c r="AW103" s="309"/>
      <c r="AX103" s="309"/>
      <c r="AY103" s="309"/>
      <c r="AZ103" s="309"/>
      <c r="BA103"/>
      <c r="BB103" s="309"/>
      <c r="BC103" s="309"/>
      <c r="BD103" s="326" t="s">
        <v>1012</v>
      </c>
      <c r="BE103" s="339"/>
      <c r="BF103" s="339"/>
      <c r="BG103" s="340" t="e">
        <f t="shared" ref="BG103:BG166" si="18">AVERAGE(BE103:BF103)</f>
        <v>#DIV/0!</v>
      </c>
      <c r="BH103" s="339"/>
      <c r="BI103" s="339"/>
      <c r="BJ103" s="340" t="e">
        <f t="shared" ref="BJ103:BJ166" si="19">AVERAGE(BH103:BI103)</f>
        <v>#DIV/0!</v>
      </c>
      <c r="BK103" s="339"/>
      <c r="BL103" s="339"/>
      <c r="BM103" s="340" t="e">
        <f t="shared" ref="BM103:BM166" si="20">AVERAGE(BK103:BL103)</f>
        <v>#DIV/0!</v>
      </c>
      <c r="BN103" s="339"/>
      <c r="BO103" s="339"/>
      <c r="BP103" s="340" t="e">
        <f t="shared" ref="BP103:BP124" si="21">AVERAGE(BN103:BO103)</f>
        <v>#DIV/0!</v>
      </c>
      <c r="BQ103" s="339"/>
      <c r="BR103" s="339"/>
      <c r="BS103" s="340" t="e">
        <f t="shared" ref="BS103:BS166" si="22">AVERAGE(BQ103:BR103)</f>
        <v>#DIV/0!</v>
      </c>
      <c r="BT103" s="339"/>
      <c r="BU103" s="339"/>
      <c r="BV103" s="340" t="e">
        <f t="shared" ref="BV103:BV166" si="23">AVERAGE(BT103:BU103)</f>
        <v>#DIV/0!</v>
      </c>
      <c r="BW103" s="1165"/>
      <c r="BX103" s="1166"/>
      <c r="BY103" s="342" t="str">
        <f t="shared" si="9"/>
        <v>NA</v>
      </c>
      <c r="BZ103" s="341" t="e">
        <f t="shared" si="10"/>
        <v>#DIV/0!</v>
      </c>
      <c r="CA103" s="341" t="e">
        <f t="shared" si="11"/>
        <v>#DIV/0!</v>
      </c>
      <c r="CB103" s="335"/>
      <c r="CC103" s="336"/>
      <c r="CD103" s="336"/>
      <c r="CE103" s="309"/>
      <c r="CH103" s="309"/>
    </row>
    <row r="104" spans="9:86" ht="45" customHeight="1">
      <c r="I104" s="736"/>
      <c r="J104" s="19"/>
      <c r="K104" s="19"/>
      <c r="L104" s="19"/>
      <c r="M104" s="19"/>
      <c r="N104" s="19"/>
      <c r="O104" s="19"/>
      <c r="R104" s="267" t="s">
        <v>177</v>
      </c>
      <c r="S104" s="22" t="s">
        <v>85</v>
      </c>
      <c r="T104" s="22" t="s">
        <v>841</v>
      </c>
      <c r="U104" s="244">
        <v>0.06</v>
      </c>
      <c r="V104" s="22" t="s">
        <v>121</v>
      </c>
      <c r="W104" s="24" t="s">
        <v>449</v>
      </c>
      <c r="X104" s="23" t="s">
        <v>450</v>
      </c>
      <c r="Y104" s="269" t="s">
        <v>139</v>
      </c>
      <c r="Z104" s="19"/>
      <c r="AA104" s="19"/>
      <c r="AB104" s="19"/>
      <c r="AC104" s="19"/>
      <c r="AD104" s="19"/>
      <c r="AE104" s="19"/>
      <c r="AF104" s="264" t="s">
        <v>1295</v>
      </c>
      <c r="AG104" s="722" t="s">
        <v>1205</v>
      </c>
      <c r="AH104" s="9" t="s">
        <v>74</v>
      </c>
      <c r="AI104" s="3">
        <v>0.7</v>
      </c>
      <c r="AJ104" s="3">
        <v>0.85</v>
      </c>
      <c r="AK104" s="3">
        <v>0.77500000000000002</v>
      </c>
      <c r="AL104" s="4">
        <v>21.111111111111111</v>
      </c>
      <c r="AM104" s="4">
        <v>29.444444444444443</v>
      </c>
      <c r="AN104" s="9" t="s">
        <v>1198</v>
      </c>
      <c r="AO104" s="256"/>
      <c r="AP104" s="256" t="s">
        <v>1614</v>
      </c>
      <c r="AQ104" s="9"/>
      <c r="AR104" s="9"/>
      <c r="AS104" s="9"/>
      <c r="AT104" s="9"/>
      <c r="AU104" s="309"/>
      <c r="AV104" s="309"/>
      <c r="AW104" s="309"/>
      <c r="AX104" s="309"/>
      <c r="AY104" s="309"/>
      <c r="AZ104" s="309"/>
      <c r="BA104"/>
      <c r="BB104" s="309"/>
      <c r="BC104" s="309"/>
      <c r="BD104" s="331" t="s">
        <v>1013</v>
      </c>
      <c r="BE104" s="339">
        <v>50</v>
      </c>
      <c r="BF104" s="339">
        <v>100</v>
      </c>
      <c r="BG104" s="340">
        <f t="shared" si="18"/>
        <v>75</v>
      </c>
      <c r="BH104" s="339">
        <v>100</v>
      </c>
      <c r="BI104" s="339">
        <v>400</v>
      </c>
      <c r="BJ104" s="340">
        <f t="shared" si="19"/>
        <v>250</v>
      </c>
      <c r="BK104" s="339">
        <v>50</v>
      </c>
      <c r="BL104" s="339">
        <v>150</v>
      </c>
      <c r="BM104" s="340">
        <f t="shared" si="20"/>
        <v>100</v>
      </c>
      <c r="BN104" s="339">
        <v>0</v>
      </c>
      <c r="BO104" s="339">
        <v>20</v>
      </c>
      <c r="BP104" s="340">
        <f t="shared" si="21"/>
        <v>10</v>
      </c>
      <c r="BQ104" s="339">
        <v>0</v>
      </c>
      <c r="BR104" s="339">
        <v>100</v>
      </c>
      <c r="BS104" s="340">
        <f t="shared" si="22"/>
        <v>50</v>
      </c>
      <c r="BT104" s="339">
        <v>50</v>
      </c>
      <c r="BU104" s="339">
        <v>150</v>
      </c>
      <c r="BV104" s="340">
        <f t="shared" si="23"/>
        <v>100</v>
      </c>
      <c r="BW104" s="1165"/>
      <c r="BX104" s="1166"/>
      <c r="BY104" s="342">
        <f t="shared" si="9"/>
        <v>2</v>
      </c>
      <c r="BZ104" s="341">
        <f t="shared" si="10"/>
        <v>81.967213114754102</v>
      </c>
      <c r="CA104" s="341">
        <f t="shared" si="11"/>
        <v>46.252927400468387</v>
      </c>
      <c r="CB104" s="335"/>
      <c r="CC104" s="336"/>
      <c r="CD104" s="336"/>
      <c r="CE104" s="309"/>
      <c r="CH104" s="309"/>
    </row>
    <row r="105" spans="9:86" ht="45" customHeight="1">
      <c r="I105" s="736"/>
      <c r="J105" s="19"/>
      <c r="K105" s="19"/>
      <c r="L105" s="19"/>
      <c r="M105" s="19"/>
      <c r="N105" s="19"/>
      <c r="O105" s="19"/>
      <c r="R105" s="267" t="s">
        <v>178</v>
      </c>
      <c r="S105" s="22" t="s">
        <v>85</v>
      </c>
      <c r="T105" s="22" t="s">
        <v>841</v>
      </c>
      <c r="U105" s="244">
        <v>0.08</v>
      </c>
      <c r="V105" s="22" t="s">
        <v>233</v>
      </c>
      <c r="W105" s="23" t="s">
        <v>451</v>
      </c>
      <c r="X105" s="23" t="s">
        <v>452</v>
      </c>
      <c r="Y105" s="268" t="s">
        <v>453</v>
      </c>
      <c r="Z105" s="19"/>
      <c r="AA105" s="19"/>
      <c r="AB105" s="19"/>
      <c r="AC105" s="19"/>
      <c r="AD105" s="19"/>
      <c r="AE105" s="19"/>
      <c r="AF105" s="264" t="s">
        <v>1297</v>
      </c>
      <c r="AG105" s="722" t="s">
        <v>1205</v>
      </c>
      <c r="AH105" s="9" t="s">
        <v>74</v>
      </c>
      <c r="AI105" s="3">
        <v>0.85</v>
      </c>
      <c r="AJ105" s="3"/>
      <c r="AK105" s="3">
        <v>0.85</v>
      </c>
      <c r="AL105" s="4">
        <v>21.111111111111111</v>
      </c>
      <c r="AM105" s="4">
        <v>29.444444444444443</v>
      </c>
      <c r="AN105" s="9" t="s">
        <v>1198</v>
      </c>
      <c r="AO105" s="256"/>
      <c r="AP105" s="256" t="s">
        <v>1616</v>
      </c>
      <c r="AQ105" s="9"/>
      <c r="AR105" s="9"/>
      <c r="AS105" s="9"/>
      <c r="AT105" s="9"/>
      <c r="AU105" s="309"/>
      <c r="AV105" s="309"/>
      <c r="AW105" s="309"/>
      <c r="AX105" s="309"/>
      <c r="AY105" s="309"/>
      <c r="AZ105" s="309"/>
      <c r="BA105"/>
      <c r="BB105" s="309"/>
      <c r="BC105" s="309"/>
      <c r="BD105" s="331" t="s">
        <v>1014</v>
      </c>
      <c r="BE105" s="339"/>
      <c r="BF105" s="339"/>
      <c r="BG105" s="340" t="e">
        <f t="shared" si="18"/>
        <v>#DIV/0!</v>
      </c>
      <c r="BH105" s="339"/>
      <c r="BI105" s="339"/>
      <c r="BJ105" s="340" t="e">
        <f t="shared" si="19"/>
        <v>#DIV/0!</v>
      </c>
      <c r="BK105" s="339"/>
      <c r="BL105" s="339"/>
      <c r="BM105" s="340" t="e">
        <f t="shared" si="20"/>
        <v>#DIV/0!</v>
      </c>
      <c r="BN105" s="339"/>
      <c r="BO105" s="339"/>
      <c r="BP105" s="340" t="e">
        <f t="shared" si="21"/>
        <v>#DIV/0!</v>
      </c>
      <c r="BQ105" s="339"/>
      <c r="BR105" s="339"/>
      <c r="BS105" s="340" t="e">
        <f t="shared" si="22"/>
        <v>#DIV/0!</v>
      </c>
      <c r="BT105" s="339"/>
      <c r="BU105" s="339"/>
      <c r="BV105" s="340" t="e">
        <f t="shared" si="23"/>
        <v>#DIV/0!</v>
      </c>
      <c r="BW105" s="1165"/>
      <c r="BX105" s="1166"/>
      <c r="BY105" s="342" t="str">
        <f t="shared" si="9"/>
        <v>NA</v>
      </c>
      <c r="BZ105" s="341" t="e">
        <f t="shared" si="10"/>
        <v>#DIV/0!</v>
      </c>
      <c r="CA105" s="341" t="e">
        <f t="shared" si="11"/>
        <v>#DIV/0!</v>
      </c>
      <c r="CB105" s="335"/>
      <c r="CC105" s="336"/>
      <c r="CD105" s="336"/>
      <c r="CE105" s="309"/>
      <c r="CH105" s="309"/>
    </row>
    <row r="106" spans="9:86" ht="45" customHeight="1">
      <c r="I106" s="736"/>
      <c r="J106" s="19"/>
      <c r="K106" s="19"/>
      <c r="L106" s="19"/>
      <c r="M106" s="19"/>
      <c r="N106" s="19"/>
      <c r="O106" s="19"/>
      <c r="R106" s="267" t="s">
        <v>454</v>
      </c>
      <c r="S106" s="22" t="s">
        <v>85</v>
      </c>
      <c r="T106" s="22" t="s">
        <v>841</v>
      </c>
      <c r="U106" s="244">
        <v>7.0000000000000007E-2</v>
      </c>
      <c r="V106" s="22" t="s">
        <v>99</v>
      </c>
      <c r="W106" s="23" t="s">
        <v>455</v>
      </c>
      <c r="X106" s="24" t="s">
        <v>456</v>
      </c>
      <c r="Y106" s="268" t="s">
        <v>457</v>
      </c>
      <c r="Z106" s="19"/>
      <c r="AA106" s="19"/>
      <c r="AB106" s="19"/>
      <c r="AC106" s="19"/>
      <c r="AD106" s="19"/>
      <c r="AE106" s="19"/>
      <c r="AF106" s="264" t="s">
        <v>1296</v>
      </c>
      <c r="AG106" s="722" t="s">
        <v>1205</v>
      </c>
      <c r="AH106" s="9" t="s">
        <v>74</v>
      </c>
      <c r="AI106" s="3">
        <v>0.85</v>
      </c>
      <c r="AJ106" s="3"/>
      <c r="AK106" s="3">
        <v>0.85</v>
      </c>
      <c r="AL106" s="4">
        <v>21.111111111111111</v>
      </c>
      <c r="AM106" s="4">
        <v>29.444444444444443</v>
      </c>
      <c r="AN106" s="9" t="s">
        <v>1198</v>
      </c>
      <c r="AO106" s="256"/>
      <c r="AP106" s="256" t="s">
        <v>1615</v>
      </c>
      <c r="AQ106" s="9"/>
      <c r="AR106" s="9"/>
      <c r="AS106" s="9"/>
      <c r="AT106" s="9"/>
      <c r="AU106" s="309"/>
      <c r="AV106" s="309"/>
      <c r="AW106" s="309"/>
      <c r="AX106" s="309"/>
      <c r="AY106" s="309"/>
      <c r="AZ106" s="309"/>
      <c r="BA106"/>
      <c r="BB106" s="309"/>
      <c r="BC106" s="309"/>
      <c r="BD106" s="331" t="s">
        <v>1015</v>
      </c>
      <c r="BE106" s="339"/>
      <c r="BF106" s="339"/>
      <c r="BG106" s="340" t="e">
        <f t="shared" si="18"/>
        <v>#DIV/0!</v>
      </c>
      <c r="BH106" s="339"/>
      <c r="BI106" s="339"/>
      <c r="BJ106" s="340" t="e">
        <f t="shared" si="19"/>
        <v>#DIV/0!</v>
      </c>
      <c r="BK106" s="339"/>
      <c r="BL106" s="339"/>
      <c r="BM106" s="340" t="e">
        <f t="shared" si="20"/>
        <v>#DIV/0!</v>
      </c>
      <c r="BN106" s="339"/>
      <c r="BO106" s="339"/>
      <c r="BP106" s="340" t="e">
        <f t="shared" si="21"/>
        <v>#DIV/0!</v>
      </c>
      <c r="BQ106" s="339"/>
      <c r="BR106" s="339"/>
      <c r="BS106" s="340" t="e">
        <f t="shared" si="22"/>
        <v>#DIV/0!</v>
      </c>
      <c r="BT106" s="339"/>
      <c r="BU106" s="339"/>
      <c r="BV106" s="340" t="e">
        <f t="shared" si="23"/>
        <v>#DIV/0!</v>
      </c>
      <c r="BW106" s="1165"/>
      <c r="BX106" s="1166"/>
      <c r="BY106" s="342" t="str">
        <f t="shared" si="9"/>
        <v>NA</v>
      </c>
      <c r="BZ106" s="341" t="e">
        <f t="shared" si="10"/>
        <v>#DIV/0!</v>
      </c>
      <c r="CA106" s="341" t="e">
        <f t="shared" si="11"/>
        <v>#DIV/0!</v>
      </c>
      <c r="CB106" s="335"/>
      <c r="CC106" s="336"/>
      <c r="CD106" s="336"/>
      <c r="CE106" s="309"/>
      <c r="CH106" s="309"/>
    </row>
    <row r="107" spans="9:86" ht="45" customHeight="1">
      <c r="I107" s="736"/>
      <c r="J107" s="19"/>
      <c r="K107" s="19"/>
      <c r="L107" s="19"/>
      <c r="M107" s="19"/>
      <c r="N107" s="19"/>
      <c r="O107" s="19"/>
      <c r="R107" s="267" t="s">
        <v>458</v>
      </c>
      <c r="S107" s="22" t="s">
        <v>85</v>
      </c>
      <c r="T107" s="22" t="s">
        <v>841</v>
      </c>
      <c r="U107" s="244">
        <v>0.08</v>
      </c>
      <c r="V107" s="22" t="s">
        <v>233</v>
      </c>
      <c r="W107" s="23" t="s">
        <v>459</v>
      </c>
      <c r="X107" s="24" t="s">
        <v>460</v>
      </c>
      <c r="Y107" s="268" t="s">
        <v>461</v>
      </c>
      <c r="Z107" s="19"/>
      <c r="AA107" s="19"/>
      <c r="AB107" s="19"/>
      <c r="AC107" s="19"/>
      <c r="AD107" s="19"/>
      <c r="AE107" s="19"/>
      <c r="AF107" s="264" t="s">
        <v>1298</v>
      </c>
      <c r="AG107" s="722" t="s">
        <v>1205</v>
      </c>
      <c r="AH107" s="9" t="s">
        <v>74</v>
      </c>
      <c r="AI107" s="3">
        <v>0.7</v>
      </c>
      <c r="AJ107" s="3">
        <v>0.85</v>
      </c>
      <c r="AK107" s="3">
        <v>0.77500000000000002</v>
      </c>
      <c r="AL107" s="4">
        <v>29.444444444444443</v>
      </c>
      <c r="AM107" s="4">
        <v>29.444444444444443</v>
      </c>
      <c r="AN107" s="9" t="s">
        <v>1198</v>
      </c>
      <c r="AO107" s="256"/>
      <c r="AP107" s="256" t="s">
        <v>1617</v>
      </c>
      <c r="AQ107" s="9"/>
      <c r="AR107" s="9"/>
      <c r="AS107" s="9"/>
      <c r="AT107" s="9"/>
      <c r="AU107" s="309"/>
      <c r="AV107" s="309"/>
      <c r="AW107" s="309"/>
      <c r="AX107" s="309"/>
      <c r="AY107" s="309"/>
      <c r="AZ107" s="309"/>
      <c r="BA107"/>
      <c r="BB107" s="309"/>
      <c r="BC107" s="309"/>
      <c r="BD107" s="331" t="s">
        <v>1016</v>
      </c>
      <c r="BE107" s="339"/>
      <c r="BF107" s="339"/>
      <c r="BG107" s="340" t="e">
        <f t="shared" si="18"/>
        <v>#DIV/0!</v>
      </c>
      <c r="BH107" s="339"/>
      <c r="BI107" s="339"/>
      <c r="BJ107" s="340" t="e">
        <f t="shared" si="19"/>
        <v>#DIV/0!</v>
      </c>
      <c r="BK107" s="339"/>
      <c r="BL107" s="339"/>
      <c r="BM107" s="340" t="e">
        <f t="shared" si="20"/>
        <v>#DIV/0!</v>
      </c>
      <c r="BN107" s="339"/>
      <c r="BO107" s="339"/>
      <c r="BP107" s="340" t="e">
        <f t="shared" si="21"/>
        <v>#DIV/0!</v>
      </c>
      <c r="BQ107" s="339"/>
      <c r="BR107" s="339"/>
      <c r="BS107" s="340" t="e">
        <f t="shared" si="22"/>
        <v>#DIV/0!</v>
      </c>
      <c r="BT107" s="339"/>
      <c r="BU107" s="339"/>
      <c r="BV107" s="340" t="e">
        <f t="shared" si="23"/>
        <v>#DIV/0!</v>
      </c>
      <c r="BW107" s="1165"/>
      <c r="BX107" s="1166"/>
      <c r="BY107" s="342" t="str">
        <f t="shared" si="9"/>
        <v>NA</v>
      </c>
      <c r="BZ107" s="341" t="e">
        <f t="shared" si="10"/>
        <v>#DIV/0!</v>
      </c>
      <c r="CA107" s="341" t="e">
        <f t="shared" si="11"/>
        <v>#DIV/0!</v>
      </c>
      <c r="CB107" s="335"/>
      <c r="CC107" s="336"/>
      <c r="CD107" s="336"/>
      <c r="CE107" s="309"/>
      <c r="CH107" s="309"/>
    </row>
    <row r="108" spans="9:86" ht="45" customHeight="1">
      <c r="I108" s="736"/>
      <c r="J108" s="19"/>
      <c r="K108" s="19"/>
      <c r="L108" s="19"/>
      <c r="M108" s="19"/>
      <c r="N108" s="19"/>
      <c r="O108" s="19"/>
      <c r="R108" s="267" t="s">
        <v>179</v>
      </c>
      <c r="S108" s="22" t="s">
        <v>87</v>
      </c>
      <c r="T108" s="22" t="s">
        <v>841</v>
      </c>
      <c r="U108" s="244">
        <v>0.1</v>
      </c>
      <c r="V108" s="22" t="s">
        <v>83</v>
      </c>
      <c r="W108" s="23" t="s">
        <v>462</v>
      </c>
      <c r="X108" s="23" t="s">
        <v>463</v>
      </c>
      <c r="Y108" s="268" t="s">
        <v>464</v>
      </c>
      <c r="Z108" s="19"/>
      <c r="AA108" s="19"/>
      <c r="AB108" s="19"/>
      <c r="AC108" s="19"/>
      <c r="AD108" s="19"/>
      <c r="AE108" s="19"/>
      <c r="AF108" s="264" t="s">
        <v>2567</v>
      </c>
      <c r="AG108" s="722"/>
      <c r="AH108" s="9" t="s">
        <v>74</v>
      </c>
      <c r="AI108" s="3">
        <v>0.85</v>
      </c>
      <c r="AJ108" s="3">
        <v>0.85</v>
      </c>
      <c r="AK108" s="3">
        <f>IFERROR(AVERAGE(AI108,AJ108),"")</f>
        <v>0.85</v>
      </c>
      <c r="AL108" s="4">
        <v>21</v>
      </c>
      <c r="AM108" s="4">
        <v>30</v>
      </c>
      <c r="AN108" s="9" t="s">
        <v>73</v>
      </c>
      <c r="AO108" s="256"/>
      <c r="AP108" s="256"/>
      <c r="AQ108" s="9"/>
      <c r="AR108" s="263"/>
      <c r="AS108" s="9"/>
      <c r="AT108" s="9"/>
      <c r="AU108" s="309"/>
      <c r="AV108" s="309"/>
      <c r="AW108" s="309"/>
      <c r="AX108" s="309"/>
      <c r="AY108" s="309"/>
      <c r="AZ108" s="309"/>
      <c r="BA108"/>
      <c r="BB108" s="309"/>
      <c r="BC108" s="309"/>
      <c r="BD108" s="326" t="s">
        <v>1017</v>
      </c>
      <c r="BE108" s="339"/>
      <c r="BF108" s="339"/>
      <c r="BG108" s="340" t="e">
        <f t="shared" si="18"/>
        <v>#DIV/0!</v>
      </c>
      <c r="BH108" s="339"/>
      <c r="BI108" s="339"/>
      <c r="BJ108" s="340" t="e">
        <f t="shared" si="19"/>
        <v>#DIV/0!</v>
      </c>
      <c r="BK108" s="339"/>
      <c r="BL108" s="339"/>
      <c r="BM108" s="340" t="e">
        <f t="shared" si="20"/>
        <v>#DIV/0!</v>
      </c>
      <c r="BN108" s="339"/>
      <c r="BO108" s="339"/>
      <c r="BP108" s="340" t="e">
        <f t="shared" si="21"/>
        <v>#DIV/0!</v>
      </c>
      <c r="BQ108" s="339"/>
      <c r="BR108" s="339"/>
      <c r="BS108" s="340" t="e">
        <f t="shared" si="22"/>
        <v>#DIV/0!</v>
      </c>
      <c r="BT108" s="339"/>
      <c r="BU108" s="339"/>
      <c r="BV108" s="340" t="e">
        <f t="shared" si="23"/>
        <v>#DIV/0!</v>
      </c>
      <c r="BW108" s="1165"/>
      <c r="BX108" s="1166"/>
      <c r="BY108" s="342" t="str">
        <f t="shared" ref="BY108:BY171" si="24">IFERROR(BH108/BE108,"NA")</f>
        <v>NA</v>
      </c>
      <c r="BZ108" s="341" t="e">
        <f t="shared" ref="BZ108:BZ171" si="25">BV108/1.22</f>
        <v>#DIV/0!</v>
      </c>
      <c r="CA108" s="341" t="e">
        <f t="shared" ref="CA108:CA171" si="26">BZ108-(BK108/1.4+BN108/1.7)</f>
        <v>#DIV/0!</v>
      </c>
      <c r="CB108" s="335"/>
      <c r="CC108" s="336"/>
      <c r="CD108" s="336"/>
      <c r="CE108" s="309"/>
      <c r="CH108" s="309"/>
    </row>
    <row r="109" spans="9:86" ht="45" customHeight="1">
      <c r="I109" s="736"/>
      <c r="J109" s="19"/>
      <c r="K109" s="19"/>
      <c r="L109" s="19"/>
      <c r="M109" s="19"/>
      <c r="N109" s="19"/>
      <c r="O109" s="19"/>
      <c r="R109" s="267" t="s">
        <v>180</v>
      </c>
      <c r="S109" s="22" t="s">
        <v>87</v>
      </c>
      <c r="T109" s="22" t="s">
        <v>841</v>
      </c>
      <c r="U109" s="244">
        <v>0.11</v>
      </c>
      <c r="V109" s="22" t="s">
        <v>83</v>
      </c>
      <c r="W109" s="23" t="s">
        <v>465</v>
      </c>
      <c r="X109" s="23" t="s">
        <v>466</v>
      </c>
      <c r="Y109" s="268" t="s">
        <v>467</v>
      </c>
      <c r="Z109" s="19"/>
      <c r="AA109" s="19"/>
      <c r="AB109" s="19"/>
      <c r="AC109" s="19"/>
      <c r="AD109" s="19"/>
      <c r="AE109" s="19"/>
      <c r="AF109" s="264" t="s">
        <v>1299</v>
      </c>
      <c r="AG109" s="722" t="s">
        <v>1205</v>
      </c>
      <c r="AH109" s="9" t="s">
        <v>74</v>
      </c>
      <c r="AI109" s="3">
        <v>0.7</v>
      </c>
      <c r="AJ109" s="3">
        <v>0.85</v>
      </c>
      <c r="AK109" s="3">
        <v>0.77500000000000002</v>
      </c>
      <c r="AL109" s="4">
        <v>29.444444444444443</v>
      </c>
      <c r="AM109" s="4">
        <v>29.444444444444443</v>
      </c>
      <c r="AN109" s="9" t="s">
        <v>1198</v>
      </c>
      <c r="AO109" s="256"/>
      <c r="AP109" s="256" t="s">
        <v>1618</v>
      </c>
      <c r="AQ109" s="9"/>
      <c r="AR109" s="9"/>
      <c r="AS109" s="9"/>
      <c r="AT109" s="9"/>
      <c r="AU109" s="309"/>
      <c r="AV109" s="309"/>
      <c r="AW109" s="309"/>
      <c r="AX109" s="309"/>
      <c r="AY109" s="309"/>
      <c r="AZ109" s="309"/>
      <c r="BA109"/>
      <c r="BB109" s="309"/>
      <c r="BC109" s="309"/>
      <c r="BD109" s="331" t="s">
        <v>1018</v>
      </c>
      <c r="BE109" s="339"/>
      <c r="BF109" s="339"/>
      <c r="BG109" s="340" t="e">
        <f t="shared" si="18"/>
        <v>#DIV/0!</v>
      </c>
      <c r="BH109" s="339"/>
      <c r="BI109" s="339"/>
      <c r="BJ109" s="340" t="e">
        <f t="shared" si="19"/>
        <v>#DIV/0!</v>
      </c>
      <c r="BK109" s="339"/>
      <c r="BL109" s="339"/>
      <c r="BM109" s="340" t="e">
        <f t="shared" si="20"/>
        <v>#DIV/0!</v>
      </c>
      <c r="BN109" s="339"/>
      <c r="BO109" s="339"/>
      <c r="BP109" s="340" t="e">
        <f t="shared" si="21"/>
        <v>#DIV/0!</v>
      </c>
      <c r="BQ109" s="339"/>
      <c r="BR109" s="339"/>
      <c r="BS109" s="340" t="e">
        <f t="shared" si="22"/>
        <v>#DIV/0!</v>
      </c>
      <c r="BT109" s="339"/>
      <c r="BU109" s="339"/>
      <c r="BV109" s="340" t="e">
        <f t="shared" si="23"/>
        <v>#DIV/0!</v>
      </c>
      <c r="BW109" s="1165"/>
      <c r="BX109" s="1166"/>
      <c r="BY109" s="342" t="str">
        <f t="shared" si="24"/>
        <v>NA</v>
      </c>
      <c r="BZ109" s="341" t="e">
        <f t="shared" si="25"/>
        <v>#DIV/0!</v>
      </c>
      <c r="CA109" s="341" t="e">
        <f t="shared" si="26"/>
        <v>#DIV/0!</v>
      </c>
      <c r="CB109" s="335"/>
      <c r="CC109" s="336"/>
      <c r="CD109" s="336"/>
      <c r="CE109" s="309"/>
      <c r="CH109" s="309"/>
    </row>
    <row r="110" spans="9:86" ht="45" customHeight="1">
      <c r="I110" s="736"/>
      <c r="J110" s="19"/>
      <c r="K110" s="19"/>
      <c r="L110" s="19"/>
      <c r="M110" s="19"/>
      <c r="N110" s="19"/>
      <c r="O110" s="19"/>
      <c r="R110" s="267" t="s">
        <v>181</v>
      </c>
      <c r="S110" s="22" t="s">
        <v>87</v>
      </c>
      <c r="T110" s="22" t="s">
        <v>841</v>
      </c>
      <c r="U110" s="244">
        <v>0.1</v>
      </c>
      <c r="V110" s="22" t="s">
        <v>83</v>
      </c>
      <c r="W110" s="24" t="s">
        <v>468</v>
      </c>
      <c r="X110" s="23" t="s">
        <v>469</v>
      </c>
      <c r="Y110" s="269" t="s">
        <v>118</v>
      </c>
      <c r="Z110" s="19"/>
      <c r="AA110" s="19"/>
      <c r="AB110" s="19"/>
      <c r="AC110" s="19"/>
      <c r="AD110" s="19"/>
      <c r="AE110" s="19"/>
      <c r="AF110" s="264" t="s">
        <v>1300</v>
      </c>
      <c r="AG110" s="722" t="s">
        <v>1205</v>
      </c>
      <c r="AH110" s="9" t="s">
        <v>74</v>
      </c>
      <c r="AI110" s="3">
        <v>0.7</v>
      </c>
      <c r="AJ110" s="3">
        <v>0.85</v>
      </c>
      <c r="AK110" s="3">
        <v>0.77500000000000002</v>
      </c>
      <c r="AL110" s="4">
        <v>29.444444444444443</v>
      </c>
      <c r="AM110" s="4">
        <v>29.444444444444443</v>
      </c>
      <c r="AN110" s="9" t="s">
        <v>1198</v>
      </c>
      <c r="AO110" s="256"/>
      <c r="AP110" s="256" t="s">
        <v>1619</v>
      </c>
      <c r="AQ110" s="9"/>
      <c r="AR110" s="9"/>
      <c r="AS110" s="9"/>
      <c r="AT110" s="9"/>
      <c r="AU110" s="309"/>
      <c r="AV110" s="309"/>
      <c r="AW110" s="309"/>
      <c r="AX110" s="309"/>
      <c r="AY110" s="309"/>
      <c r="AZ110" s="309"/>
      <c r="BA110"/>
      <c r="BB110" s="309"/>
      <c r="BC110" s="309"/>
      <c r="BD110" s="331" t="s">
        <v>1019</v>
      </c>
      <c r="BE110" s="339"/>
      <c r="BF110" s="339"/>
      <c r="BG110" s="340" t="e">
        <f t="shared" si="18"/>
        <v>#DIV/0!</v>
      </c>
      <c r="BH110" s="339"/>
      <c r="BI110" s="339"/>
      <c r="BJ110" s="340" t="e">
        <f t="shared" si="19"/>
        <v>#DIV/0!</v>
      </c>
      <c r="BK110" s="339"/>
      <c r="BL110" s="339"/>
      <c r="BM110" s="340" t="e">
        <f t="shared" si="20"/>
        <v>#DIV/0!</v>
      </c>
      <c r="BN110" s="339"/>
      <c r="BO110" s="339"/>
      <c r="BP110" s="340" t="e">
        <f t="shared" si="21"/>
        <v>#DIV/0!</v>
      </c>
      <c r="BQ110" s="339"/>
      <c r="BR110" s="339"/>
      <c r="BS110" s="340" t="e">
        <f t="shared" si="22"/>
        <v>#DIV/0!</v>
      </c>
      <c r="BT110" s="339"/>
      <c r="BU110" s="339"/>
      <c r="BV110" s="340" t="e">
        <f t="shared" si="23"/>
        <v>#DIV/0!</v>
      </c>
      <c r="BW110" s="1165"/>
      <c r="BX110" s="1166"/>
      <c r="BY110" s="342" t="str">
        <f t="shared" si="24"/>
        <v>NA</v>
      </c>
      <c r="BZ110" s="341" t="e">
        <f t="shared" si="25"/>
        <v>#DIV/0!</v>
      </c>
      <c r="CA110" s="341" t="e">
        <f t="shared" si="26"/>
        <v>#DIV/0!</v>
      </c>
      <c r="CB110" s="335"/>
      <c r="CC110" s="336"/>
      <c r="CD110" s="336"/>
      <c r="CE110" s="309"/>
      <c r="CH110" s="309"/>
    </row>
    <row r="111" spans="9:86" ht="45" customHeight="1">
      <c r="I111" s="736"/>
      <c r="J111" s="19"/>
      <c r="K111" s="19"/>
      <c r="L111" s="19"/>
      <c r="M111" s="19"/>
      <c r="N111" s="19"/>
      <c r="O111" s="19"/>
      <c r="R111" s="267" t="s">
        <v>147</v>
      </c>
      <c r="S111" s="22" t="s">
        <v>87</v>
      </c>
      <c r="T111" s="22" t="s">
        <v>841</v>
      </c>
      <c r="U111" s="244">
        <v>0.09</v>
      </c>
      <c r="V111" s="22" t="s">
        <v>83</v>
      </c>
      <c r="W111" s="23" t="s">
        <v>470</v>
      </c>
      <c r="X111" s="23" t="s">
        <v>471</v>
      </c>
      <c r="Y111" s="268" t="s">
        <v>472</v>
      </c>
      <c r="Z111" s="19"/>
      <c r="AA111" s="19"/>
      <c r="AB111" s="19"/>
      <c r="AC111" s="19"/>
      <c r="AD111" s="19"/>
      <c r="AE111" s="19"/>
      <c r="AF111" s="264" t="s">
        <v>1301</v>
      </c>
      <c r="AG111" s="722" t="s">
        <v>1302</v>
      </c>
      <c r="AH111" s="9" t="s">
        <v>72</v>
      </c>
      <c r="AI111" s="3"/>
      <c r="AJ111" s="3"/>
      <c r="AK111" s="3"/>
      <c r="AL111" s="4">
        <v>17.777777777777779</v>
      </c>
      <c r="AM111" s="4">
        <v>22.777777777777779</v>
      </c>
      <c r="AN111" s="9" t="s">
        <v>1198</v>
      </c>
      <c r="AO111" s="256"/>
      <c r="AP111" s="256" t="s">
        <v>1620</v>
      </c>
      <c r="AQ111" s="9"/>
      <c r="AR111" s="9"/>
      <c r="AS111" s="9"/>
      <c r="AT111" s="9"/>
      <c r="AU111" s="309"/>
      <c r="AV111" s="309"/>
      <c r="AW111" s="309"/>
      <c r="AX111" s="309"/>
      <c r="AY111" s="309"/>
      <c r="AZ111" s="309"/>
      <c r="BA111" s="309"/>
      <c r="BB111" s="309"/>
      <c r="BC111" s="309"/>
      <c r="BD111" s="331" t="s">
        <v>1020</v>
      </c>
      <c r="BE111" s="339"/>
      <c r="BF111" s="339"/>
      <c r="BG111" s="340" t="e">
        <f t="shared" si="18"/>
        <v>#DIV/0!</v>
      </c>
      <c r="BH111" s="339"/>
      <c r="BI111" s="339"/>
      <c r="BJ111" s="340" t="e">
        <f t="shared" si="19"/>
        <v>#DIV/0!</v>
      </c>
      <c r="BK111" s="339"/>
      <c r="BL111" s="339"/>
      <c r="BM111" s="340" t="e">
        <f t="shared" si="20"/>
        <v>#DIV/0!</v>
      </c>
      <c r="BN111" s="339"/>
      <c r="BO111" s="339"/>
      <c r="BP111" s="340" t="e">
        <f t="shared" si="21"/>
        <v>#DIV/0!</v>
      </c>
      <c r="BQ111" s="339"/>
      <c r="BR111" s="339"/>
      <c r="BS111" s="340" t="e">
        <f t="shared" si="22"/>
        <v>#DIV/0!</v>
      </c>
      <c r="BT111" s="339"/>
      <c r="BU111" s="339"/>
      <c r="BV111" s="340" t="e">
        <f t="shared" si="23"/>
        <v>#DIV/0!</v>
      </c>
      <c r="BW111" s="1165"/>
      <c r="BX111" s="1166"/>
      <c r="BY111" s="342" t="str">
        <f t="shared" si="24"/>
        <v>NA</v>
      </c>
      <c r="BZ111" s="341" t="e">
        <f t="shared" si="25"/>
        <v>#DIV/0!</v>
      </c>
      <c r="CA111" s="341" t="e">
        <f t="shared" si="26"/>
        <v>#DIV/0!</v>
      </c>
      <c r="CB111" s="335"/>
      <c r="CC111" s="336"/>
      <c r="CD111" s="336"/>
      <c r="CH111" s="309"/>
    </row>
    <row r="112" spans="9:86" ht="45" customHeight="1">
      <c r="I112" s="736"/>
      <c r="J112" s="19"/>
      <c r="K112" s="19"/>
      <c r="L112" s="19"/>
      <c r="M112" s="19"/>
      <c r="N112" s="19"/>
      <c r="O112" s="19"/>
      <c r="R112" s="267" t="s">
        <v>182</v>
      </c>
      <c r="S112" s="22" t="s">
        <v>87</v>
      </c>
      <c r="T112" s="22" t="s">
        <v>841</v>
      </c>
      <c r="U112" s="244">
        <v>0.21</v>
      </c>
      <c r="V112" s="22" t="s">
        <v>99</v>
      </c>
      <c r="W112" s="23" t="s">
        <v>473</v>
      </c>
      <c r="X112" s="23" t="s">
        <v>474</v>
      </c>
      <c r="Y112" s="269" t="s">
        <v>148</v>
      </c>
      <c r="Z112" s="19"/>
      <c r="AA112" s="19"/>
      <c r="AB112" s="19"/>
      <c r="AC112" s="19"/>
      <c r="AD112" s="19"/>
      <c r="AE112" s="19"/>
      <c r="AF112" s="264" t="s">
        <v>1303</v>
      </c>
      <c r="AG112" s="722" t="s">
        <v>1302</v>
      </c>
      <c r="AH112" s="9" t="s">
        <v>72</v>
      </c>
      <c r="AI112" s="3"/>
      <c r="AJ112" s="3"/>
      <c r="AK112" s="3"/>
      <c r="AL112" s="4">
        <v>10</v>
      </c>
      <c r="AM112" s="4">
        <v>15</v>
      </c>
      <c r="AN112" s="9" t="s">
        <v>1186</v>
      </c>
      <c r="AO112" s="256"/>
      <c r="AP112" s="256" t="s">
        <v>1621</v>
      </c>
      <c r="AQ112" s="9"/>
      <c r="AR112" s="9"/>
      <c r="AS112" s="9"/>
      <c r="AT112" s="9"/>
      <c r="AU112" s="309"/>
      <c r="AV112" s="309"/>
      <c r="AW112" s="309"/>
      <c r="AX112" s="309"/>
      <c r="AY112" s="309"/>
      <c r="AZ112" s="309"/>
      <c r="BA112" s="309"/>
      <c r="BB112" s="309"/>
      <c r="BC112" s="309"/>
      <c r="BD112" s="331" t="s">
        <v>1021</v>
      </c>
      <c r="BE112" s="339"/>
      <c r="BF112" s="339"/>
      <c r="BG112" s="340" t="e">
        <f t="shared" si="18"/>
        <v>#DIV/0!</v>
      </c>
      <c r="BH112" s="339"/>
      <c r="BI112" s="339"/>
      <c r="BJ112" s="340" t="e">
        <f t="shared" si="19"/>
        <v>#DIV/0!</v>
      </c>
      <c r="BK112" s="339"/>
      <c r="BL112" s="339"/>
      <c r="BM112" s="340" t="e">
        <f t="shared" si="20"/>
        <v>#DIV/0!</v>
      </c>
      <c r="BN112" s="339"/>
      <c r="BO112" s="339"/>
      <c r="BP112" s="340" t="e">
        <f t="shared" si="21"/>
        <v>#DIV/0!</v>
      </c>
      <c r="BQ112" s="339"/>
      <c r="BR112" s="339"/>
      <c r="BS112" s="340" t="e">
        <f t="shared" si="22"/>
        <v>#DIV/0!</v>
      </c>
      <c r="BT112" s="339"/>
      <c r="BU112" s="339"/>
      <c r="BV112" s="340" t="e">
        <f t="shared" si="23"/>
        <v>#DIV/0!</v>
      </c>
      <c r="BW112" s="1165"/>
      <c r="BX112" s="1166"/>
      <c r="BY112" s="342" t="str">
        <f t="shared" si="24"/>
        <v>NA</v>
      </c>
      <c r="BZ112" s="341" t="e">
        <f t="shared" si="25"/>
        <v>#DIV/0!</v>
      </c>
      <c r="CA112" s="341" t="e">
        <f t="shared" si="26"/>
        <v>#DIV/0!</v>
      </c>
      <c r="CB112" s="335"/>
      <c r="CC112" s="336"/>
      <c r="CD112" s="336"/>
      <c r="CH112" s="309"/>
    </row>
    <row r="113" spans="8:86" ht="45" customHeight="1">
      <c r="I113" s="736"/>
      <c r="J113" s="19"/>
      <c r="K113" s="19"/>
      <c r="L113" s="19"/>
      <c r="M113" s="19"/>
      <c r="N113" s="19"/>
      <c r="O113" s="19"/>
      <c r="R113" s="267" t="s">
        <v>183</v>
      </c>
      <c r="S113" s="22" t="s">
        <v>87</v>
      </c>
      <c r="T113" s="22" t="s">
        <v>841</v>
      </c>
      <c r="U113" s="244">
        <v>0.09</v>
      </c>
      <c r="V113" s="22" t="s">
        <v>184</v>
      </c>
      <c r="W113" s="23" t="s">
        <v>475</v>
      </c>
      <c r="X113" s="24" t="s">
        <v>476</v>
      </c>
      <c r="Y113" s="268" t="s">
        <v>477</v>
      </c>
      <c r="Z113" s="19"/>
      <c r="AA113" s="19"/>
      <c r="AB113" s="19"/>
      <c r="AC113" s="19"/>
      <c r="AD113" s="19"/>
      <c r="AE113" s="19"/>
      <c r="AF113" s="264" t="s">
        <v>1304</v>
      </c>
      <c r="AG113" s="722" t="s">
        <v>1302</v>
      </c>
      <c r="AH113" s="9" t="s">
        <v>72</v>
      </c>
      <c r="AI113" s="3"/>
      <c r="AJ113" s="3"/>
      <c r="AK113" s="3"/>
      <c r="AL113" s="4">
        <v>17.777777777777779</v>
      </c>
      <c r="AM113" s="4">
        <v>25</v>
      </c>
      <c r="AN113" s="9" t="s">
        <v>1196</v>
      </c>
      <c r="AO113" s="256"/>
      <c r="AP113" s="256" t="s">
        <v>1622</v>
      </c>
      <c r="AQ113" s="9"/>
      <c r="AR113" s="9"/>
      <c r="AS113" s="9"/>
      <c r="AT113" s="9"/>
      <c r="AU113" s="309"/>
      <c r="AV113" s="309"/>
      <c r="AW113" s="309"/>
      <c r="AX113" s="309"/>
      <c r="AY113" s="309"/>
      <c r="AZ113" s="309"/>
      <c r="BA113" s="309"/>
      <c r="BB113" s="309"/>
      <c r="BC113" s="309"/>
      <c r="BD113" s="331" t="s">
        <v>1022</v>
      </c>
      <c r="BE113" s="339"/>
      <c r="BF113" s="339"/>
      <c r="BG113" s="340" t="e">
        <f t="shared" si="18"/>
        <v>#DIV/0!</v>
      </c>
      <c r="BH113" s="339"/>
      <c r="BI113" s="339"/>
      <c r="BJ113" s="340" t="e">
        <f t="shared" si="19"/>
        <v>#DIV/0!</v>
      </c>
      <c r="BK113" s="339"/>
      <c r="BL113" s="339"/>
      <c r="BM113" s="340" t="e">
        <f t="shared" si="20"/>
        <v>#DIV/0!</v>
      </c>
      <c r="BN113" s="339"/>
      <c r="BO113" s="339"/>
      <c r="BP113" s="340" t="e">
        <f t="shared" si="21"/>
        <v>#DIV/0!</v>
      </c>
      <c r="BQ113" s="339"/>
      <c r="BR113" s="339"/>
      <c r="BS113" s="340" t="e">
        <f t="shared" si="22"/>
        <v>#DIV/0!</v>
      </c>
      <c r="BT113" s="339"/>
      <c r="BU113" s="339"/>
      <c r="BV113" s="340" t="e">
        <f t="shared" si="23"/>
        <v>#DIV/0!</v>
      </c>
      <c r="BW113" s="1165"/>
      <c r="BX113" s="1166"/>
      <c r="BY113" s="342" t="str">
        <f t="shared" si="24"/>
        <v>NA</v>
      </c>
      <c r="BZ113" s="341" t="e">
        <f t="shared" si="25"/>
        <v>#DIV/0!</v>
      </c>
      <c r="CA113" s="341" t="e">
        <f t="shared" si="26"/>
        <v>#DIV/0!</v>
      </c>
      <c r="CB113" s="335"/>
      <c r="CC113" s="336"/>
      <c r="CD113" s="336"/>
      <c r="CH113" s="309"/>
    </row>
    <row r="114" spans="8:86" ht="45" customHeight="1">
      <c r="I114" s="736"/>
      <c r="J114" s="19"/>
      <c r="K114" s="19"/>
      <c r="L114" s="19"/>
      <c r="M114" s="19"/>
      <c r="N114" s="19"/>
      <c r="O114" s="19"/>
      <c r="R114" s="267" t="s">
        <v>185</v>
      </c>
      <c r="S114" s="22" t="s">
        <v>82</v>
      </c>
      <c r="T114" s="22" t="s">
        <v>841</v>
      </c>
      <c r="U114" s="244">
        <v>0.1</v>
      </c>
      <c r="V114" s="22" t="s">
        <v>126</v>
      </c>
      <c r="W114" s="23" t="s">
        <v>478</v>
      </c>
      <c r="X114" s="23" t="s">
        <v>479</v>
      </c>
      <c r="Y114" s="268" t="s">
        <v>480</v>
      </c>
      <c r="Z114" s="19"/>
      <c r="AA114" s="19"/>
      <c r="AB114" s="19"/>
      <c r="AC114" s="19"/>
      <c r="AD114" s="19"/>
      <c r="AE114" s="19"/>
      <c r="AF114" s="264" t="s">
        <v>1305</v>
      </c>
      <c r="AG114" s="722" t="s">
        <v>1213</v>
      </c>
      <c r="AH114" s="9" t="s">
        <v>74</v>
      </c>
      <c r="AI114" s="3">
        <v>0.73</v>
      </c>
      <c r="AJ114" s="3">
        <v>0.75</v>
      </c>
      <c r="AK114" s="3">
        <v>0.74</v>
      </c>
      <c r="AL114" s="4">
        <v>17.777777777777779</v>
      </c>
      <c r="AM114" s="4">
        <v>22.222222222222221</v>
      </c>
      <c r="AN114" s="9" t="s">
        <v>1188</v>
      </c>
      <c r="AO114" s="256"/>
      <c r="AP114" s="256" t="s">
        <v>1623</v>
      </c>
      <c r="AQ114" s="9"/>
      <c r="AR114" s="9"/>
      <c r="AS114" s="9"/>
      <c r="AT114" s="9"/>
      <c r="AU114" s="309"/>
      <c r="AV114" s="309"/>
      <c r="AW114" s="309"/>
      <c r="AX114" s="309"/>
      <c r="AY114" s="309"/>
      <c r="AZ114" s="309"/>
      <c r="BA114" s="309"/>
      <c r="BB114" s="309"/>
      <c r="BC114" s="309"/>
      <c r="BD114" s="331" t="s">
        <v>1023</v>
      </c>
      <c r="BE114" s="339"/>
      <c r="BF114" s="339"/>
      <c r="BG114" s="340" t="e">
        <f t="shared" si="18"/>
        <v>#DIV/0!</v>
      </c>
      <c r="BH114" s="339"/>
      <c r="BI114" s="339"/>
      <c r="BJ114" s="340" t="e">
        <f t="shared" si="19"/>
        <v>#DIV/0!</v>
      </c>
      <c r="BK114" s="339"/>
      <c r="BL114" s="339"/>
      <c r="BM114" s="340" t="e">
        <f t="shared" si="20"/>
        <v>#DIV/0!</v>
      </c>
      <c r="BN114" s="339"/>
      <c r="BO114" s="339"/>
      <c r="BP114" s="340" t="e">
        <f t="shared" si="21"/>
        <v>#DIV/0!</v>
      </c>
      <c r="BQ114" s="339"/>
      <c r="BR114" s="339"/>
      <c r="BS114" s="340" t="e">
        <f t="shared" si="22"/>
        <v>#DIV/0!</v>
      </c>
      <c r="BT114" s="339"/>
      <c r="BU114" s="339"/>
      <c r="BV114" s="340" t="e">
        <f t="shared" si="23"/>
        <v>#DIV/0!</v>
      </c>
      <c r="BW114" s="1165"/>
      <c r="BX114" s="1166"/>
      <c r="BY114" s="342" t="str">
        <f t="shared" si="24"/>
        <v>NA</v>
      </c>
      <c r="BZ114" s="341" t="e">
        <f t="shared" si="25"/>
        <v>#DIV/0!</v>
      </c>
      <c r="CA114" s="341" t="e">
        <f t="shared" si="26"/>
        <v>#DIV/0!</v>
      </c>
      <c r="CB114" s="335"/>
      <c r="CC114" s="336"/>
      <c r="CD114" s="336"/>
      <c r="CH114" s="309"/>
    </row>
    <row r="115" spans="8:86" ht="45" customHeight="1">
      <c r="I115" s="736"/>
      <c r="J115" s="19"/>
      <c r="K115" s="19"/>
      <c r="L115" s="19"/>
      <c r="M115" s="19"/>
      <c r="N115" s="19"/>
      <c r="O115" s="19"/>
      <c r="R115" s="267" t="s">
        <v>186</v>
      </c>
      <c r="S115" s="22" t="s">
        <v>87</v>
      </c>
      <c r="T115" s="22" t="s">
        <v>841</v>
      </c>
      <c r="U115" s="244">
        <v>7.0000000000000007E-2</v>
      </c>
      <c r="V115" s="22" t="s">
        <v>83</v>
      </c>
      <c r="W115" s="23" t="s">
        <v>481</v>
      </c>
      <c r="X115" s="23" t="s">
        <v>482</v>
      </c>
      <c r="Y115" s="268" t="s">
        <v>483</v>
      </c>
      <c r="Z115" s="19"/>
      <c r="AA115" s="19"/>
      <c r="AB115" s="19"/>
      <c r="AC115" s="19"/>
      <c r="AD115" s="19"/>
      <c r="AE115" s="19"/>
      <c r="AF115" s="264" t="s">
        <v>1306</v>
      </c>
      <c r="AG115" s="722" t="s">
        <v>1208</v>
      </c>
      <c r="AH115" s="9" t="s">
        <v>74</v>
      </c>
      <c r="AI115" s="3">
        <v>0.7</v>
      </c>
      <c r="AJ115" s="3">
        <v>0.8</v>
      </c>
      <c r="AK115" s="3">
        <v>0.75</v>
      </c>
      <c r="AL115" s="4">
        <v>17.777777777777779</v>
      </c>
      <c r="AM115" s="4">
        <v>22.222222222222221</v>
      </c>
      <c r="AN115" s="9" t="s">
        <v>1196</v>
      </c>
      <c r="AO115" s="256"/>
      <c r="AP115" s="256" t="s">
        <v>1624</v>
      </c>
      <c r="AQ115" s="9"/>
      <c r="AR115" s="9"/>
      <c r="AS115" s="9"/>
      <c r="AT115" s="9"/>
      <c r="AU115" s="309"/>
      <c r="AV115" s="309"/>
      <c r="AW115" s="309"/>
      <c r="AX115" s="309"/>
      <c r="AY115" s="309"/>
      <c r="AZ115" s="309"/>
      <c r="BA115" s="309"/>
      <c r="BB115" s="309"/>
      <c r="BC115" s="309"/>
      <c r="BD115" s="331" t="s">
        <v>1024</v>
      </c>
      <c r="BE115" s="339"/>
      <c r="BF115" s="339"/>
      <c r="BG115" s="340" t="e">
        <f t="shared" si="18"/>
        <v>#DIV/0!</v>
      </c>
      <c r="BH115" s="339"/>
      <c r="BI115" s="339"/>
      <c r="BJ115" s="340" t="e">
        <f t="shared" si="19"/>
        <v>#DIV/0!</v>
      </c>
      <c r="BK115" s="339"/>
      <c r="BL115" s="339"/>
      <c r="BM115" s="340" t="e">
        <f t="shared" si="20"/>
        <v>#DIV/0!</v>
      </c>
      <c r="BN115" s="339"/>
      <c r="BO115" s="339"/>
      <c r="BP115" s="340" t="e">
        <f t="shared" si="21"/>
        <v>#DIV/0!</v>
      </c>
      <c r="BQ115" s="339"/>
      <c r="BR115" s="339"/>
      <c r="BS115" s="340" t="e">
        <f t="shared" si="22"/>
        <v>#DIV/0!</v>
      </c>
      <c r="BT115" s="339"/>
      <c r="BU115" s="339"/>
      <c r="BV115" s="340" t="e">
        <f t="shared" si="23"/>
        <v>#DIV/0!</v>
      </c>
      <c r="BW115" s="1165"/>
      <c r="BX115" s="1166"/>
      <c r="BY115" s="342" t="str">
        <f t="shared" si="24"/>
        <v>NA</v>
      </c>
      <c r="BZ115" s="341" t="e">
        <f t="shared" si="25"/>
        <v>#DIV/0!</v>
      </c>
      <c r="CA115" s="341" t="e">
        <f t="shared" si="26"/>
        <v>#DIV/0!</v>
      </c>
      <c r="CB115" s="335"/>
      <c r="CC115" s="336"/>
      <c r="CD115" s="336"/>
      <c r="CH115" s="309"/>
    </row>
    <row r="116" spans="8:86" ht="45" customHeight="1">
      <c r="I116" s="736"/>
      <c r="J116" s="19"/>
      <c r="K116" s="19"/>
      <c r="L116" s="19"/>
      <c r="M116" s="19"/>
      <c r="N116" s="19"/>
      <c r="O116" s="19"/>
      <c r="R116" s="267" t="s">
        <v>187</v>
      </c>
      <c r="S116" s="22" t="s">
        <v>87</v>
      </c>
      <c r="T116" s="22" t="s">
        <v>841</v>
      </c>
      <c r="U116" s="244">
        <v>0.06</v>
      </c>
      <c r="V116" s="22" t="s">
        <v>233</v>
      </c>
      <c r="W116" s="24" t="s">
        <v>188</v>
      </c>
      <c r="X116" s="23" t="s">
        <v>484</v>
      </c>
      <c r="Y116" s="268" t="s">
        <v>485</v>
      </c>
      <c r="Z116" s="19"/>
      <c r="AA116" s="19"/>
      <c r="AB116" s="19"/>
      <c r="AC116" s="19"/>
      <c r="AD116" s="19"/>
      <c r="AE116" s="19"/>
      <c r="AF116" s="264" t="s">
        <v>1307</v>
      </c>
      <c r="AG116" s="722" t="s">
        <v>1213</v>
      </c>
      <c r="AH116" s="9" t="s">
        <v>74</v>
      </c>
      <c r="AI116" s="3">
        <v>0.73</v>
      </c>
      <c r="AJ116" s="3">
        <v>0.75</v>
      </c>
      <c r="AK116" s="3">
        <v>0.74</v>
      </c>
      <c r="AL116" s="4">
        <v>17.222222222222221</v>
      </c>
      <c r="AM116" s="4">
        <v>23.888888888888889</v>
      </c>
      <c r="AN116" s="9" t="s">
        <v>1186</v>
      </c>
      <c r="AO116" s="256"/>
      <c r="AP116" s="256" t="s">
        <v>1625</v>
      </c>
      <c r="AQ116" s="9"/>
      <c r="AR116" s="9"/>
      <c r="AS116" s="9"/>
      <c r="AT116" s="9"/>
      <c r="AU116" s="309"/>
      <c r="AV116" s="309"/>
      <c r="AW116" s="309"/>
      <c r="AX116" s="309"/>
      <c r="AY116" s="309"/>
      <c r="AZ116" s="309"/>
      <c r="BA116" s="309"/>
      <c r="BB116" s="309"/>
      <c r="BC116" s="309"/>
      <c r="BD116" s="326" t="s">
        <v>1025</v>
      </c>
      <c r="BE116" s="339"/>
      <c r="BF116" s="339"/>
      <c r="BG116" s="340" t="e">
        <f t="shared" si="18"/>
        <v>#DIV/0!</v>
      </c>
      <c r="BH116" s="339"/>
      <c r="BI116" s="339"/>
      <c r="BJ116" s="340" t="e">
        <f t="shared" si="19"/>
        <v>#DIV/0!</v>
      </c>
      <c r="BK116" s="339"/>
      <c r="BL116" s="339"/>
      <c r="BM116" s="340" t="e">
        <f t="shared" si="20"/>
        <v>#DIV/0!</v>
      </c>
      <c r="BN116" s="339"/>
      <c r="BO116" s="339"/>
      <c r="BP116" s="340" t="e">
        <f t="shared" si="21"/>
        <v>#DIV/0!</v>
      </c>
      <c r="BQ116" s="339"/>
      <c r="BR116" s="339"/>
      <c r="BS116" s="340" t="e">
        <f t="shared" si="22"/>
        <v>#DIV/0!</v>
      </c>
      <c r="BT116" s="339"/>
      <c r="BU116" s="339"/>
      <c r="BV116" s="340" t="e">
        <f t="shared" si="23"/>
        <v>#DIV/0!</v>
      </c>
      <c r="BW116" s="1165"/>
      <c r="BX116" s="1166"/>
      <c r="BY116" s="342" t="str">
        <f t="shared" si="24"/>
        <v>NA</v>
      </c>
      <c r="BZ116" s="341" t="e">
        <f t="shared" si="25"/>
        <v>#DIV/0!</v>
      </c>
      <c r="CA116" s="341" t="e">
        <f t="shared" si="26"/>
        <v>#DIV/0!</v>
      </c>
      <c r="CB116" s="335"/>
      <c r="CC116" s="336"/>
      <c r="CD116" s="336"/>
      <c r="CH116" s="309"/>
    </row>
    <row r="117" spans="8:86" ht="45" customHeight="1">
      <c r="I117" s="736"/>
      <c r="J117" s="19"/>
      <c r="K117" s="19"/>
      <c r="L117" s="19"/>
      <c r="M117" s="19"/>
      <c r="N117" s="19"/>
      <c r="O117" s="19"/>
      <c r="R117" s="267" t="s">
        <v>189</v>
      </c>
      <c r="S117" s="22" t="s">
        <v>87</v>
      </c>
      <c r="T117" s="22" t="s">
        <v>841</v>
      </c>
      <c r="U117" s="244">
        <v>0.11</v>
      </c>
      <c r="V117" s="22" t="s">
        <v>121</v>
      </c>
      <c r="W117" s="23" t="s">
        <v>486</v>
      </c>
      <c r="X117" s="23" t="s">
        <v>487</v>
      </c>
      <c r="Y117" s="268" t="s">
        <v>488</v>
      </c>
      <c r="Z117" s="19"/>
      <c r="AA117" s="19"/>
      <c r="AB117" s="19"/>
      <c r="AC117" s="19"/>
      <c r="AD117" s="19"/>
      <c r="AE117" s="19"/>
      <c r="AF117" s="264" t="s">
        <v>1308</v>
      </c>
      <c r="AG117" s="722" t="s">
        <v>1208</v>
      </c>
      <c r="AH117" s="9" t="s">
        <v>74</v>
      </c>
      <c r="AI117" s="3">
        <v>0.71</v>
      </c>
      <c r="AJ117" s="3">
        <v>0.75</v>
      </c>
      <c r="AK117" s="3">
        <v>0.73</v>
      </c>
      <c r="AL117" s="4">
        <v>17.777777777777779</v>
      </c>
      <c r="AM117" s="4">
        <v>23.333333333333332</v>
      </c>
      <c r="AN117" s="9" t="s">
        <v>1186</v>
      </c>
      <c r="AO117" s="256"/>
      <c r="AP117" s="256" t="s">
        <v>1626</v>
      </c>
      <c r="AQ117" s="9"/>
      <c r="AR117" s="9"/>
      <c r="AS117" s="9"/>
      <c r="AT117" s="9"/>
      <c r="AU117" s="309"/>
      <c r="AV117" s="309"/>
      <c r="AW117" s="309"/>
      <c r="AX117" s="309"/>
      <c r="AY117" s="309"/>
      <c r="AZ117" s="309"/>
      <c r="BA117" s="309"/>
      <c r="BB117" s="309"/>
      <c r="BC117" s="309"/>
      <c r="BD117" s="331" t="s">
        <v>1026</v>
      </c>
      <c r="BE117" s="339"/>
      <c r="BF117" s="339"/>
      <c r="BG117" s="340" t="e">
        <f t="shared" si="18"/>
        <v>#DIV/0!</v>
      </c>
      <c r="BH117" s="339"/>
      <c r="BI117" s="339"/>
      <c r="BJ117" s="340" t="e">
        <f t="shared" si="19"/>
        <v>#DIV/0!</v>
      </c>
      <c r="BK117" s="339"/>
      <c r="BL117" s="339"/>
      <c r="BM117" s="340" t="e">
        <f t="shared" si="20"/>
        <v>#DIV/0!</v>
      </c>
      <c r="BN117" s="339"/>
      <c r="BO117" s="339"/>
      <c r="BP117" s="340" t="e">
        <f t="shared" si="21"/>
        <v>#DIV/0!</v>
      </c>
      <c r="BQ117" s="339"/>
      <c r="BR117" s="339"/>
      <c r="BS117" s="340" t="e">
        <f t="shared" si="22"/>
        <v>#DIV/0!</v>
      </c>
      <c r="BT117" s="339"/>
      <c r="BU117" s="339"/>
      <c r="BV117" s="340" t="e">
        <f t="shared" si="23"/>
        <v>#DIV/0!</v>
      </c>
      <c r="BW117" s="1165"/>
      <c r="BX117" s="1166"/>
      <c r="BY117" s="342" t="str">
        <f t="shared" si="24"/>
        <v>NA</v>
      </c>
      <c r="BZ117" s="341" t="e">
        <f t="shared" si="25"/>
        <v>#DIV/0!</v>
      </c>
      <c r="CA117" s="341" t="e">
        <f t="shared" si="26"/>
        <v>#DIV/0!</v>
      </c>
      <c r="CB117" s="335"/>
      <c r="CC117" s="336"/>
      <c r="CD117" s="336"/>
      <c r="CH117" s="309"/>
    </row>
    <row r="118" spans="8:86" ht="45" customHeight="1">
      <c r="I118" s="736"/>
      <c r="J118" s="19"/>
      <c r="K118" s="19"/>
      <c r="L118" s="19"/>
      <c r="M118" s="19"/>
      <c r="N118" s="19"/>
      <c r="O118" s="19"/>
      <c r="R118" s="267" t="s">
        <v>190</v>
      </c>
      <c r="S118" s="22" t="s">
        <v>85</v>
      </c>
      <c r="T118" s="22" t="s">
        <v>841</v>
      </c>
      <c r="U118" s="244">
        <v>0.06</v>
      </c>
      <c r="V118" s="22" t="s">
        <v>121</v>
      </c>
      <c r="W118" s="23" t="s">
        <v>489</v>
      </c>
      <c r="X118" s="23" t="s">
        <v>490</v>
      </c>
      <c r="Y118" s="268" t="s">
        <v>590</v>
      </c>
      <c r="Z118" s="19"/>
      <c r="AA118" s="19"/>
      <c r="AB118" s="19"/>
      <c r="AC118" s="19"/>
      <c r="AD118" s="19"/>
      <c r="AE118" s="19"/>
      <c r="AF118" s="264" t="s">
        <v>1309</v>
      </c>
      <c r="AG118" s="722" t="s">
        <v>1208</v>
      </c>
      <c r="AH118" s="9" t="s">
        <v>74</v>
      </c>
      <c r="AI118" s="3">
        <v>0.67</v>
      </c>
      <c r="AJ118" s="3">
        <v>0.71</v>
      </c>
      <c r="AK118" s="3">
        <v>0.69</v>
      </c>
      <c r="AL118" s="4">
        <v>17.777777777777779</v>
      </c>
      <c r="AM118" s="4">
        <v>22.222222222222221</v>
      </c>
      <c r="AN118" s="9" t="s">
        <v>1192</v>
      </c>
      <c r="AO118" s="256"/>
      <c r="AP118" s="256" t="s">
        <v>1627</v>
      </c>
      <c r="AQ118" s="9"/>
      <c r="AR118" s="9"/>
      <c r="AS118" s="9"/>
      <c r="AT118" s="9"/>
      <c r="AU118" s="309"/>
      <c r="AV118" s="309"/>
      <c r="AW118" s="309"/>
      <c r="AX118" s="309"/>
      <c r="AY118" s="309"/>
      <c r="AZ118" s="309"/>
      <c r="BA118" s="309"/>
      <c r="BB118" s="309"/>
      <c r="BC118" s="309"/>
      <c r="BD118" s="331" t="s">
        <v>1027</v>
      </c>
      <c r="BE118" s="339"/>
      <c r="BF118" s="339"/>
      <c r="BG118" s="340" t="e">
        <f t="shared" si="18"/>
        <v>#DIV/0!</v>
      </c>
      <c r="BH118" s="339"/>
      <c r="BI118" s="339"/>
      <c r="BJ118" s="340" t="e">
        <f t="shared" si="19"/>
        <v>#DIV/0!</v>
      </c>
      <c r="BK118" s="339"/>
      <c r="BL118" s="339"/>
      <c r="BM118" s="340" t="e">
        <f t="shared" si="20"/>
        <v>#DIV/0!</v>
      </c>
      <c r="BN118" s="339"/>
      <c r="BO118" s="339"/>
      <c r="BP118" s="340" t="e">
        <f t="shared" si="21"/>
        <v>#DIV/0!</v>
      </c>
      <c r="BQ118" s="339"/>
      <c r="BR118" s="339"/>
      <c r="BS118" s="340" t="e">
        <f t="shared" si="22"/>
        <v>#DIV/0!</v>
      </c>
      <c r="BT118" s="339"/>
      <c r="BU118" s="339"/>
      <c r="BV118" s="340" t="e">
        <f t="shared" si="23"/>
        <v>#DIV/0!</v>
      </c>
      <c r="BW118" s="1165"/>
      <c r="BX118" s="1166"/>
      <c r="BY118" s="342" t="str">
        <f t="shared" si="24"/>
        <v>NA</v>
      </c>
      <c r="BZ118" s="341" t="e">
        <f t="shared" si="25"/>
        <v>#DIV/0!</v>
      </c>
      <c r="CA118" s="341" t="e">
        <f t="shared" si="26"/>
        <v>#DIV/0!</v>
      </c>
      <c r="CB118" s="335"/>
      <c r="CC118" s="336"/>
      <c r="CD118" s="336"/>
      <c r="CH118" s="309"/>
    </row>
    <row r="119" spans="8:86" ht="45" customHeight="1">
      <c r="I119" s="735"/>
      <c r="R119" s="267" t="s">
        <v>491</v>
      </c>
      <c r="S119" s="22" t="s">
        <v>85</v>
      </c>
      <c r="T119" s="22" t="s">
        <v>841</v>
      </c>
      <c r="U119" s="244">
        <v>3.5000000000000003E-2</v>
      </c>
      <c r="V119" s="22" t="s">
        <v>184</v>
      </c>
      <c r="W119" s="23" t="s">
        <v>492</v>
      </c>
      <c r="X119" s="23" t="s">
        <v>493</v>
      </c>
      <c r="Y119" s="268" t="s">
        <v>494</v>
      </c>
      <c r="Z119" s="19"/>
      <c r="AA119" s="19"/>
      <c r="AB119" s="19"/>
      <c r="AC119" s="19"/>
      <c r="AD119" s="19"/>
      <c r="AE119" s="19"/>
      <c r="AF119" s="264" t="s">
        <v>1310</v>
      </c>
      <c r="AG119" s="722" t="s">
        <v>1205</v>
      </c>
      <c r="AH119" s="9" t="s">
        <v>74</v>
      </c>
      <c r="AI119" s="3">
        <v>0.75</v>
      </c>
      <c r="AJ119" s="3">
        <v>0.8</v>
      </c>
      <c r="AK119" s="3">
        <v>0.77500000000000002</v>
      </c>
      <c r="AL119" s="4">
        <v>20</v>
      </c>
      <c r="AM119" s="4">
        <v>23.888888888888889</v>
      </c>
      <c r="AN119" s="9" t="s">
        <v>1186</v>
      </c>
      <c r="AO119" s="256"/>
      <c r="AP119" s="256" t="s">
        <v>1628</v>
      </c>
      <c r="AQ119" s="9"/>
      <c r="AR119" s="9"/>
      <c r="AS119" s="9"/>
      <c r="AT119" s="9"/>
      <c r="AU119" s="309"/>
      <c r="AV119" s="309"/>
      <c r="AW119" s="309"/>
      <c r="AX119" s="309"/>
      <c r="AY119" s="309"/>
      <c r="AZ119" s="309"/>
      <c r="BA119" s="309"/>
      <c r="BB119" s="309"/>
      <c r="BC119" s="309"/>
      <c r="BD119" s="331" t="s">
        <v>1028</v>
      </c>
      <c r="BE119" s="339"/>
      <c r="BF119" s="339"/>
      <c r="BG119" s="340" t="e">
        <f t="shared" si="18"/>
        <v>#DIV/0!</v>
      </c>
      <c r="BH119" s="339"/>
      <c r="BI119" s="339"/>
      <c r="BJ119" s="340" t="e">
        <f t="shared" si="19"/>
        <v>#DIV/0!</v>
      </c>
      <c r="BK119" s="339"/>
      <c r="BL119" s="339"/>
      <c r="BM119" s="340" t="e">
        <f t="shared" si="20"/>
        <v>#DIV/0!</v>
      </c>
      <c r="BN119" s="339"/>
      <c r="BO119" s="339"/>
      <c r="BP119" s="340" t="e">
        <f t="shared" si="21"/>
        <v>#DIV/0!</v>
      </c>
      <c r="BQ119" s="339"/>
      <c r="BR119" s="339"/>
      <c r="BS119" s="340" t="e">
        <f t="shared" si="22"/>
        <v>#DIV/0!</v>
      </c>
      <c r="BT119" s="339"/>
      <c r="BU119" s="339"/>
      <c r="BV119" s="340" t="e">
        <f t="shared" si="23"/>
        <v>#DIV/0!</v>
      </c>
      <c r="BW119" s="1165"/>
      <c r="BX119" s="1166"/>
      <c r="BY119" s="342" t="str">
        <f t="shared" si="24"/>
        <v>NA</v>
      </c>
      <c r="BZ119" s="341" t="e">
        <f t="shared" si="25"/>
        <v>#DIV/0!</v>
      </c>
      <c r="CA119" s="341" t="e">
        <f t="shared" si="26"/>
        <v>#DIV/0!</v>
      </c>
      <c r="CB119" s="335"/>
      <c r="CC119" s="336"/>
      <c r="CD119" s="336"/>
      <c r="CF119" s="309"/>
      <c r="CH119" s="309"/>
    </row>
    <row r="120" spans="8:86" ht="45" customHeight="1">
      <c r="I120" s="735"/>
      <c r="R120" s="267" t="s">
        <v>495</v>
      </c>
      <c r="S120" s="22" t="s">
        <v>85</v>
      </c>
      <c r="T120" s="22" t="s">
        <v>841</v>
      </c>
      <c r="U120" s="244">
        <v>3.5000000000000003E-2</v>
      </c>
      <c r="V120" s="22" t="s">
        <v>233</v>
      </c>
      <c r="W120" s="23" t="s">
        <v>496</v>
      </c>
      <c r="X120" s="24" t="s">
        <v>497</v>
      </c>
      <c r="Y120" s="268" t="s">
        <v>498</v>
      </c>
      <c r="Z120" s="19"/>
      <c r="AA120" s="19"/>
      <c r="AB120" s="19"/>
      <c r="AC120" s="19"/>
      <c r="AD120" s="19"/>
      <c r="AE120" s="19"/>
      <c r="AF120" s="264" t="s">
        <v>1311</v>
      </c>
      <c r="AG120" s="722" t="s">
        <v>1244</v>
      </c>
      <c r="AH120" s="9" t="s">
        <v>72</v>
      </c>
      <c r="AI120" s="3"/>
      <c r="AJ120" s="3"/>
      <c r="AK120" s="3"/>
      <c r="AL120" s="4">
        <v>13.888888888888889</v>
      </c>
      <c r="AM120" s="4">
        <v>22.222222222222221</v>
      </c>
      <c r="AN120" s="9" t="s">
        <v>1186</v>
      </c>
      <c r="AO120" s="256"/>
      <c r="AP120" s="256" t="s">
        <v>1629</v>
      </c>
      <c r="AQ120" s="9"/>
      <c r="AR120" s="9"/>
      <c r="AS120" s="9"/>
      <c r="AT120" s="9"/>
      <c r="AU120" s="309"/>
      <c r="AV120" s="309"/>
      <c r="AW120" s="309"/>
      <c r="AX120" s="309"/>
      <c r="AY120" s="309"/>
      <c r="AZ120" s="309"/>
      <c r="BA120" s="309"/>
      <c r="BB120" s="309"/>
      <c r="BC120" s="309"/>
      <c r="BD120" s="331" t="s">
        <v>1029</v>
      </c>
      <c r="BE120" s="339"/>
      <c r="BF120" s="339"/>
      <c r="BG120" s="340" t="e">
        <f t="shared" si="18"/>
        <v>#DIV/0!</v>
      </c>
      <c r="BH120" s="339"/>
      <c r="BI120" s="339"/>
      <c r="BJ120" s="340" t="e">
        <f t="shared" si="19"/>
        <v>#DIV/0!</v>
      </c>
      <c r="BK120" s="339"/>
      <c r="BL120" s="339"/>
      <c r="BM120" s="340" t="e">
        <f t="shared" si="20"/>
        <v>#DIV/0!</v>
      </c>
      <c r="BN120" s="339"/>
      <c r="BO120" s="339"/>
      <c r="BP120" s="340" t="e">
        <f t="shared" si="21"/>
        <v>#DIV/0!</v>
      </c>
      <c r="BQ120" s="339"/>
      <c r="BR120" s="339"/>
      <c r="BS120" s="340" t="e">
        <f t="shared" si="22"/>
        <v>#DIV/0!</v>
      </c>
      <c r="BT120" s="339"/>
      <c r="BU120" s="339"/>
      <c r="BV120" s="340" t="e">
        <f t="shared" si="23"/>
        <v>#DIV/0!</v>
      </c>
      <c r="BW120" s="1165"/>
      <c r="BX120" s="1166"/>
      <c r="BY120" s="342" t="str">
        <f t="shared" si="24"/>
        <v>NA</v>
      </c>
      <c r="BZ120" s="341" t="e">
        <f t="shared" si="25"/>
        <v>#DIV/0!</v>
      </c>
      <c r="CA120" s="341" t="e">
        <f t="shared" si="26"/>
        <v>#DIV/0!</v>
      </c>
      <c r="CB120" s="335"/>
      <c r="CC120" s="336"/>
      <c r="CD120" s="336"/>
      <c r="CF120" s="309"/>
      <c r="CH120" s="309"/>
    </row>
    <row r="121" spans="8:86" ht="45" customHeight="1">
      <c r="I121" s="12"/>
      <c r="R121" s="267" t="s">
        <v>191</v>
      </c>
      <c r="S121" s="22" t="s">
        <v>85</v>
      </c>
      <c r="T121" s="22" t="s">
        <v>841</v>
      </c>
      <c r="U121" s="244">
        <v>7.0000000000000007E-2</v>
      </c>
      <c r="V121" s="22" t="s">
        <v>233</v>
      </c>
      <c r="W121" s="23" t="s">
        <v>499</v>
      </c>
      <c r="X121" s="23" t="s">
        <v>500</v>
      </c>
      <c r="Y121" s="268" t="s">
        <v>501</v>
      </c>
      <c r="Z121" s="19"/>
      <c r="AA121" s="19"/>
      <c r="AB121" s="19"/>
      <c r="AC121" s="19"/>
      <c r="AD121" s="19"/>
      <c r="AE121" s="19"/>
      <c r="AF121" s="264" t="s">
        <v>1312</v>
      </c>
      <c r="AG121" s="722" t="s">
        <v>1213</v>
      </c>
      <c r="AH121" s="9" t="s">
        <v>74</v>
      </c>
      <c r="AI121" s="3">
        <v>0.74</v>
      </c>
      <c r="AJ121" s="3">
        <v>0.77</v>
      </c>
      <c r="AK121" s="3">
        <v>0.755</v>
      </c>
      <c r="AL121" s="4">
        <v>17.222222222222221</v>
      </c>
      <c r="AM121" s="4">
        <v>22.222222222222221</v>
      </c>
      <c r="AN121" s="9" t="s">
        <v>1196</v>
      </c>
      <c r="AO121" s="256"/>
      <c r="AP121" s="256" t="s">
        <v>1630</v>
      </c>
      <c r="AQ121" s="9"/>
      <c r="AR121" s="9"/>
      <c r="AS121" s="9"/>
      <c r="AT121" s="9"/>
      <c r="AU121" s="309"/>
      <c r="AV121" s="309"/>
      <c r="AW121" s="309"/>
      <c r="AX121" s="309"/>
      <c r="AY121" s="309"/>
      <c r="AZ121" s="309"/>
      <c r="BA121" s="309"/>
      <c r="BB121" s="309"/>
      <c r="BC121" s="309"/>
      <c r="BD121" s="331" t="s">
        <v>1030</v>
      </c>
      <c r="BE121" s="339"/>
      <c r="BF121" s="339"/>
      <c r="BG121" s="340" t="e">
        <f t="shared" si="18"/>
        <v>#DIV/0!</v>
      </c>
      <c r="BH121" s="339"/>
      <c r="BI121" s="339"/>
      <c r="BJ121" s="340" t="e">
        <f t="shared" si="19"/>
        <v>#DIV/0!</v>
      </c>
      <c r="BK121" s="339"/>
      <c r="BL121" s="339"/>
      <c r="BM121" s="340" t="e">
        <f t="shared" si="20"/>
        <v>#DIV/0!</v>
      </c>
      <c r="BN121" s="339"/>
      <c r="BO121" s="339"/>
      <c r="BP121" s="340" t="e">
        <f t="shared" si="21"/>
        <v>#DIV/0!</v>
      </c>
      <c r="BQ121" s="339"/>
      <c r="BR121" s="339"/>
      <c r="BS121" s="340" t="e">
        <f t="shared" si="22"/>
        <v>#DIV/0!</v>
      </c>
      <c r="BT121" s="339"/>
      <c r="BU121" s="339"/>
      <c r="BV121" s="340" t="e">
        <f t="shared" si="23"/>
        <v>#DIV/0!</v>
      </c>
      <c r="BW121" s="1165"/>
      <c r="BX121" s="1166"/>
      <c r="BY121" s="342" t="str">
        <f t="shared" si="24"/>
        <v>NA</v>
      </c>
      <c r="BZ121" s="341" t="e">
        <f t="shared" si="25"/>
        <v>#DIV/0!</v>
      </c>
      <c r="CA121" s="341" t="e">
        <f t="shared" si="26"/>
        <v>#DIV/0!</v>
      </c>
      <c r="CB121" s="335"/>
      <c r="CC121" s="336"/>
      <c r="CD121" s="336"/>
      <c r="CF121" s="309"/>
      <c r="CH121" s="309"/>
    </row>
    <row r="122" spans="8:86" ht="45" customHeight="1">
      <c r="H122" s="15"/>
      <c r="I122" s="12"/>
      <c r="R122" s="267" t="s">
        <v>192</v>
      </c>
      <c r="S122" s="22" t="s">
        <v>85</v>
      </c>
      <c r="T122" s="22" t="s">
        <v>841</v>
      </c>
      <c r="U122" s="244">
        <v>0.03</v>
      </c>
      <c r="V122" s="22" t="s">
        <v>99</v>
      </c>
      <c r="W122" s="23" t="s">
        <v>502</v>
      </c>
      <c r="X122" s="23" t="s">
        <v>503</v>
      </c>
      <c r="Y122" s="269" t="s">
        <v>142</v>
      </c>
      <c r="Z122" s="19"/>
      <c r="AA122" s="19"/>
      <c r="AB122" s="19"/>
      <c r="AC122" s="19"/>
      <c r="AD122" s="19"/>
      <c r="AE122" s="19"/>
      <c r="AF122" s="264" t="s">
        <v>1313</v>
      </c>
      <c r="AG122" s="722" t="s">
        <v>1236</v>
      </c>
      <c r="AH122" s="9" t="s">
        <v>74</v>
      </c>
      <c r="AI122" s="3"/>
      <c r="AJ122" s="3"/>
      <c r="AK122" s="3"/>
      <c r="AL122" s="4">
        <v>15.555555555555555</v>
      </c>
      <c r="AM122" s="4">
        <v>20</v>
      </c>
      <c r="AN122" s="9" t="s">
        <v>1198</v>
      </c>
      <c r="AO122" s="256"/>
      <c r="AP122" s="256" t="s">
        <v>1631</v>
      </c>
      <c r="AQ122" s="9"/>
      <c r="AR122" s="9"/>
      <c r="AS122" s="9"/>
      <c r="AT122" s="9"/>
      <c r="AU122" s="309"/>
      <c r="AV122" s="309"/>
      <c r="AW122" s="309"/>
      <c r="AX122" s="309"/>
      <c r="AY122" s="309"/>
      <c r="AZ122" s="309"/>
      <c r="BA122" s="309"/>
      <c r="BB122" s="309"/>
      <c r="BC122" s="309"/>
      <c r="BD122" s="331" t="s">
        <v>1031</v>
      </c>
      <c r="BE122" s="339">
        <v>0</v>
      </c>
      <c r="BF122" s="339">
        <v>100</v>
      </c>
      <c r="BG122" s="340">
        <f t="shared" si="18"/>
        <v>50</v>
      </c>
      <c r="BH122" s="339">
        <v>100</v>
      </c>
      <c r="BI122" s="339">
        <v>300</v>
      </c>
      <c r="BJ122" s="340">
        <f t="shared" si="19"/>
        <v>200</v>
      </c>
      <c r="BK122" s="339">
        <v>50</v>
      </c>
      <c r="BL122" s="339">
        <v>150</v>
      </c>
      <c r="BM122" s="340">
        <f t="shared" si="20"/>
        <v>100</v>
      </c>
      <c r="BN122" s="339">
        <v>0</v>
      </c>
      <c r="BO122" s="339">
        <v>20</v>
      </c>
      <c r="BP122" s="340">
        <f t="shared" si="21"/>
        <v>10</v>
      </c>
      <c r="BQ122" s="339">
        <v>0</v>
      </c>
      <c r="BR122" s="339">
        <v>100</v>
      </c>
      <c r="BS122" s="340">
        <f t="shared" si="22"/>
        <v>50</v>
      </c>
      <c r="BT122" s="339">
        <v>0</v>
      </c>
      <c r="BU122" s="339">
        <v>150</v>
      </c>
      <c r="BV122" s="340">
        <f t="shared" si="23"/>
        <v>75</v>
      </c>
      <c r="BW122" s="1165"/>
      <c r="BX122" s="1166"/>
      <c r="BY122" s="342" t="str">
        <f t="shared" si="24"/>
        <v>NA</v>
      </c>
      <c r="BZ122" s="341">
        <f t="shared" si="25"/>
        <v>61.475409836065573</v>
      </c>
      <c r="CA122" s="341">
        <f t="shared" si="26"/>
        <v>25.761124121779858</v>
      </c>
      <c r="CB122" s="335"/>
      <c r="CC122" s="336"/>
      <c r="CD122" s="336"/>
      <c r="CF122" s="309"/>
      <c r="CH122" s="309"/>
    </row>
    <row r="123" spans="8:86" ht="45" customHeight="1">
      <c r="H123" s="15"/>
      <c r="I123" s="12"/>
      <c r="R123" s="267" t="s">
        <v>193</v>
      </c>
      <c r="S123" s="22" t="s">
        <v>87</v>
      </c>
      <c r="T123" s="22" t="s">
        <v>841</v>
      </c>
      <c r="U123" s="244">
        <v>0.13</v>
      </c>
      <c r="V123" s="22" t="s">
        <v>233</v>
      </c>
      <c r="W123" s="23" t="s">
        <v>504</v>
      </c>
      <c r="X123" s="23" t="s">
        <v>505</v>
      </c>
      <c r="Y123" s="268" t="s">
        <v>506</v>
      </c>
      <c r="Z123" s="19"/>
      <c r="AA123" s="19"/>
      <c r="AB123" s="19"/>
      <c r="AC123" s="19"/>
      <c r="AD123" s="19"/>
      <c r="AE123" s="19"/>
      <c r="AF123" s="264" t="s">
        <v>1314</v>
      </c>
      <c r="AG123" s="722" t="s">
        <v>1205</v>
      </c>
      <c r="AH123" s="9" t="s">
        <v>74</v>
      </c>
      <c r="AI123" s="3">
        <v>0.72</v>
      </c>
      <c r="AJ123" s="3">
        <v>0.78</v>
      </c>
      <c r="AK123" s="3">
        <v>0.75</v>
      </c>
      <c r="AL123" s="4">
        <v>19.444444444444443</v>
      </c>
      <c r="AM123" s="4">
        <v>22.222222222222221</v>
      </c>
      <c r="AN123" s="9" t="s">
        <v>1188</v>
      </c>
      <c r="AO123" s="256"/>
      <c r="AP123" s="256" t="s">
        <v>1632</v>
      </c>
      <c r="AQ123" s="9"/>
      <c r="AR123" s="9"/>
      <c r="AS123" s="9"/>
      <c r="AT123" s="9"/>
      <c r="AU123" s="309"/>
      <c r="AV123" s="309"/>
      <c r="AW123" s="309"/>
      <c r="AX123" s="309"/>
      <c r="AY123" s="309"/>
      <c r="AZ123" s="309"/>
      <c r="BA123" s="309"/>
      <c r="BB123" s="309"/>
      <c r="BC123" s="309"/>
      <c r="BD123" s="331" t="s">
        <v>1032</v>
      </c>
      <c r="BE123" s="339"/>
      <c r="BF123" s="339"/>
      <c r="BG123" s="340" t="e">
        <f t="shared" si="18"/>
        <v>#DIV/0!</v>
      </c>
      <c r="BH123" s="339"/>
      <c r="BI123" s="339"/>
      <c r="BJ123" s="340" t="e">
        <f t="shared" si="19"/>
        <v>#DIV/0!</v>
      </c>
      <c r="BK123" s="339"/>
      <c r="BL123" s="339"/>
      <c r="BM123" s="340" t="e">
        <f t="shared" si="20"/>
        <v>#DIV/0!</v>
      </c>
      <c r="BN123" s="339"/>
      <c r="BO123" s="339"/>
      <c r="BP123" s="340" t="e">
        <f t="shared" si="21"/>
        <v>#DIV/0!</v>
      </c>
      <c r="BQ123" s="339"/>
      <c r="BR123" s="339"/>
      <c r="BS123" s="340" t="e">
        <f t="shared" si="22"/>
        <v>#DIV/0!</v>
      </c>
      <c r="BT123" s="339"/>
      <c r="BU123" s="339"/>
      <c r="BV123" s="340" t="e">
        <f t="shared" si="23"/>
        <v>#DIV/0!</v>
      </c>
      <c r="BW123" s="1165"/>
      <c r="BX123" s="1166"/>
      <c r="BY123" s="342" t="str">
        <f t="shared" si="24"/>
        <v>NA</v>
      </c>
      <c r="BZ123" s="341" t="e">
        <f t="shared" si="25"/>
        <v>#DIV/0!</v>
      </c>
      <c r="CA123" s="341" t="e">
        <f t="shared" si="26"/>
        <v>#DIV/0!</v>
      </c>
      <c r="CB123" s="335"/>
      <c r="CC123" s="336"/>
      <c r="CD123" s="336"/>
      <c r="CF123" s="309"/>
      <c r="CH123" s="309"/>
    </row>
    <row r="124" spans="8:86" ht="45" customHeight="1">
      <c r="H124" s="15"/>
      <c r="I124" s="12"/>
      <c r="R124" s="267" t="s">
        <v>194</v>
      </c>
      <c r="S124" s="22" t="s">
        <v>85</v>
      </c>
      <c r="T124" s="22" t="s">
        <v>841</v>
      </c>
      <c r="U124" s="244">
        <v>7.0000000000000007E-2</v>
      </c>
      <c r="V124" s="22" t="s">
        <v>184</v>
      </c>
      <c r="W124" s="24" t="s">
        <v>188</v>
      </c>
      <c r="X124" s="23" t="s">
        <v>507</v>
      </c>
      <c r="Y124" s="269" t="s">
        <v>195</v>
      </c>
      <c r="Z124" s="19"/>
      <c r="AA124" s="19"/>
      <c r="AB124" s="19"/>
      <c r="AC124" s="19"/>
      <c r="AD124" s="19"/>
      <c r="AE124" s="19"/>
      <c r="AF124" s="264" t="s">
        <v>1315</v>
      </c>
      <c r="AG124" s="722" t="s">
        <v>1213</v>
      </c>
      <c r="AH124" s="9" t="s">
        <v>74</v>
      </c>
      <c r="AI124" s="3">
        <v>0.71</v>
      </c>
      <c r="AJ124" s="3">
        <v>0.75</v>
      </c>
      <c r="AK124" s="3">
        <v>0.73</v>
      </c>
      <c r="AL124" s="4">
        <v>8.8888888888888893</v>
      </c>
      <c r="AM124" s="4">
        <v>13.333333333333334</v>
      </c>
      <c r="AN124" s="9" t="s">
        <v>1196</v>
      </c>
      <c r="AO124" s="256"/>
      <c r="AP124" s="256" t="s">
        <v>1633</v>
      </c>
      <c r="AQ124" s="9"/>
      <c r="AR124" s="9"/>
      <c r="AS124" s="9"/>
      <c r="AT124" s="9"/>
      <c r="AU124" s="309"/>
      <c r="AV124" s="344"/>
      <c r="AW124" s="309"/>
      <c r="AX124" s="309"/>
      <c r="AY124" s="309"/>
      <c r="AZ124" s="309"/>
      <c r="BA124" s="309"/>
      <c r="BB124" s="309"/>
      <c r="BC124" s="309"/>
      <c r="BD124" s="326" t="s">
        <v>1033</v>
      </c>
      <c r="BE124" s="339"/>
      <c r="BF124" s="339"/>
      <c r="BG124" s="340" t="e">
        <f t="shared" si="18"/>
        <v>#DIV/0!</v>
      </c>
      <c r="BH124" s="339"/>
      <c r="BI124" s="339"/>
      <c r="BJ124" s="340" t="e">
        <f t="shared" si="19"/>
        <v>#DIV/0!</v>
      </c>
      <c r="BK124" s="339"/>
      <c r="BL124" s="339"/>
      <c r="BM124" s="340" t="e">
        <f t="shared" si="20"/>
        <v>#DIV/0!</v>
      </c>
      <c r="BN124" s="339"/>
      <c r="BO124" s="339"/>
      <c r="BP124" s="340" t="e">
        <f t="shared" si="21"/>
        <v>#DIV/0!</v>
      </c>
      <c r="BQ124" s="339"/>
      <c r="BR124" s="339"/>
      <c r="BS124" s="340" t="e">
        <f t="shared" si="22"/>
        <v>#DIV/0!</v>
      </c>
      <c r="BT124" s="339"/>
      <c r="BU124" s="339"/>
      <c r="BV124" s="340" t="e">
        <f t="shared" si="23"/>
        <v>#DIV/0!</v>
      </c>
      <c r="BW124" s="1165"/>
      <c r="BX124" s="1166"/>
      <c r="BY124" s="342" t="str">
        <f t="shared" si="24"/>
        <v>NA</v>
      </c>
      <c r="BZ124" s="341" t="e">
        <f t="shared" si="25"/>
        <v>#DIV/0!</v>
      </c>
      <c r="CA124" s="341" t="e">
        <f t="shared" si="26"/>
        <v>#DIV/0!</v>
      </c>
      <c r="CB124" s="335"/>
      <c r="CC124" s="336"/>
      <c r="CD124" s="336"/>
      <c r="CF124" s="309"/>
      <c r="CH124" s="309"/>
    </row>
    <row r="125" spans="8:86" ht="45" customHeight="1">
      <c r="H125" s="15"/>
      <c r="I125" s="12"/>
      <c r="R125" s="267" t="s">
        <v>196</v>
      </c>
      <c r="S125" s="22" t="s">
        <v>87</v>
      </c>
      <c r="T125" s="22" t="s">
        <v>841</v>
      </c>
      <c r="U125" s="244">
        <v>0.05</v>
      </c>
      <c r="V125" s="22" t="s">
        <v>99</v>
      </c>
      <c r="W125" s="23" t="s">
        <v>508</v>
      </c>
      <c r="X125" s="23" t="s">
        <v>509</v>
      </c>
      <c r="Y125" s="269" t="s">
        <v>142</v>
      </c>
      <c r="Z125" s="19"/>
      <c r="AA125" s="19"/>
      <c r="AB125" s="19"/>
      <c r="AC125" s="19"/>
      <c r="AD125" s="19"/>
      <c r="AE125" s="19"/>
      <c r="AF125" s="264" t="s">
        <v>1316</v>
      </c>
      <c r="AG125" s="722" t="s">
        <v>1236</v>
      </c>
      <c r="AH125" s="9" t="s">
        <v>74</v>
      </c>
      <c r="AI125" s="3"/>
      <c r="AJ125" s="3"/>
      <c r="AK125" s="3"/>
      <c r="AL125" s="4" t="e">
        <v>#VALUE!</v>
      </c>
      <c r="AM125" s="4">
        <v>-17.777777777777779</v>
      </c>
      <c r="AN125" s="9"/>
      <c r="AO125" s="256"/>
      <c r="AP125" s="256" t="s">
        <v>1634</v>
      </c>
      <c r="AQ125" s="9"/>
      <c r="AR125" s="9"/>
      <c r="AS125" s="9"/>
      <c r="AT125" s="9"/>
      <c r="AU125" s="309"/>
      <c r="AV125" s="344"/>
      <c r="AW125" s="309"/>
      <c r="AX125" s="309"/>
      <c r="AY125" s="309"/>
      <c r="AZ125" s="309"/>
      <c r="BA125" s="309"/>
      <c r="BB125" s="309"/>
      <c r="BC125" s="309"/>
      <c r="BD125" s="331" t="s">
        <v>1034</v>
      </c>
      <c r="BE125" s="339">
        <v>0</v>
      </c>
      <c r="BF125" s="339">
        <v>50</v>
      </c>
      <c r="BG125" s="340">
        <f t="shared" si="18"/>
        <v>25</v>
      </c>
      <c r="BH125" s="339">
        <v>50</v>
      </c>
      <c r="BI125" s="339">
        <v>150</v>
      </c>
      <c r="BJ125" s="340">
        <f t="shared" si="19"/>
        <v>100</v>
      </c>
      <c r="BK125" s="339">
        <v>50</v>
      </c>
      <c r="BL125" s="339">
        <v>100</v>
      </c>
      <c r="BM125" s="340">
        <f t="shared" si="20"/>
        <v>75</v>
      </c>
      <c r="BN125" s="339">
        <v>0</v>
      </c>
      <c r="BO125" s="339">
        <v>20</v>
      </c>
      <c r="BP125" s="340">
        <f>AVERAGE(BN125:BO125)</f>
        <v>10</v>
      </c>
      <c r="BQ125" s="339">
        <v>0</v>
      </c>
      <c r="BR125" s="339">
        <v>50</v>
      </c>
      <c r="BS125" s="340">
        <f t="shared" si="22"/>
        <v>25</v>
      </c>
      <c r="BT125" s="339">
        <v>0</v>
      </c>
      <c r="BU125" s="339">
        <v>50</v>
      </c>
      <c r="BV125" s="340">
        <f t="shared" si="23"/>
        <v>25</v>
      </c>
      <c r="BW125" s="1165"/>
      <c r="BX125" s="1166"/>
      <c r="BY125" s="342" t="str">
        <f t="shared" si="24"/>
        <v>NA</v>
      </c>
      <c r="BZ125" s="341">
        <f t="shared" si="25"/>
        <v>20.491803278688526</v>
      </c>
      <c r="CA125" s="341">
        <f t="shared" si="26"/>
        <v>-15.22248243559719</v>
      </c>
      <c r="CB125" s="335"/>
      <c r="CC125" s="336"/>
      <c r="CD125" s="336"/>
      <c r="CF125" s="309"/>
      <c r="CH125" s="309"/>
    </row>
    <row r="126" spans="8:86" ht="45" customHeight="1">
      <c r="H126" s="696"/>
      <c r="I126" s="12"/>
      <c r="R126" s="267" t="s">
        <v>197</v>
      </c>
      <c r="S126" s="22" t="s">
        <v>87</v>
      </c>
      <c r="T126" s="22" t="s">
        <v>841</v>
      </c>
      <c r="U126" s="244">
        <v>0.13</v>
      </c>
      <c r="V126" s="22" t="s">
        <v>233</v>
      </c>
      <c r="W126" s="23" t="s">
        <v>510</v>
      </c>
      <c r="X126" s="23" t="s">
        <v>511</v>
      </c>
      <c r="Y126" s="269" t="s">
        <v>198</v>
      </c>
      <c r="Z126" s="19"/>
      <c r="AA126" s="19"/>
      <c r="AB126" s="19"/>
      <c r="AC126" s="19"/>
      <c r="AD126" s="19"/>
      <c r="AE126" s="19"/>
      <c r="AF126" s="264" t="s">
        <v>1317</v>
      </c>
      <c r="AG126" s="722" t="s">
        <v>1236</v>
      </c>
      <c r="AH126" s="9" t="s">
        <v>74</v>
      </c>
      <c r="AI126" s="3"/>
      <c r="AJ126" s="3"/>
      <c r="AK126" s="3"/>
      <c r="AL126" s="4">
        <v>15.555555555555555</v>
      </c>
      <c r="AM126" s="4">
        <v>23.333333333333332</v>
      </c>
      <c r="AN126" s="9"/>
      <c r="AO126" s="256"/>
      <c r="AP126" s="256" t="s">
        <v>1635</v>
      </c>
      <c r="AQ126" s="9"/>
      <c r="AR126" s="9"/>
      <c r="AS126" s="9"/>
      <c r="AT126" s="9"/>
      <c r="AU126" s="309"/>
      <c r="AV126" s="309"/>
      <c r="AW126" s="309"/>
      <c r="AX126" s="309"/>
      <c r="AY126" s="309"/>
      <c r="AZ126" s="309"/>
      <c r="BA126" s="309"/>
      <c r="BB126" s="309"/>
      <c r="BC126" s="309"/>
      <c r="BD126" s="331" t="s">
        <v>1035</v>
      </c>
      <c r="BE126" s="339"/>
      <c r="BF126" s="339"/>
      <c r="BG126" s="340" t="e">
        <f t="shared" si="18"/>
        <v>#DIV/0!</v>
      </c>
      <c r="BH126" s="339"/>
      <c r="BI126" s="339"/>
      <c r="BJ126" s="340" t="e">
        <f t="shared" si="19"/>
        <v>#DIV/0!</v>
      </c>
      <c r="BK126" s="339"/>
      <c r="BL126" s="339"/>
      <c r="BM126" s="340" t="e">
        <f t="shared" si="20"/>
        <v>#DIV/0!</v>
      </c>
      <c r="BN126" s="339"/>
      <c r="BO126" s="339"/>
      <c r="BP126" s="340" t="e">
        <f t="shared" ref="BP126:BP166" si="27">AVERAGE(BN126:BO126)</f>
        <v>#DIV/0!</v>
      </c>
      <c r="BQ126" s="339"/>
      <c r="BR126" s="339"/>
      <c r="BS126" s="340" t="e">
        <f t="shared" si="22"/>
        <v>#DIV/0!</v>
      </c>
      <c r="BT126" s="339"/>
      <c r="BU126" s="339"/>
      <c r="BV126" s="340" t="e">
        <f t="shared" si="23"/>
        <v>#DIV/0!</v>
      </c>
      <c r="BW126" s="1165"/>
      <c r="BX126" s="1166"/>
      <c r="BY126" s="342" t="str">
        <f t="shared" si="24"/>
        <v>NA</v>
      </c>
      <c r="BZ126" s="341" t="e">
        <f t="shared" si="25"/>
        <v>#DIV/0!</v>
      </c>
      <c r="CA126" s="341" t="e">
        <f t="shared" si="26"/>
        <v>#DIV/0!</v>
      </c>
      <c r="CB126" s="335"/>
      <c r="CC126" s="336"/>
      <c r="CD126" s="336"/>
      <c r="CF126" s="309"/>
      <c r="CH126" s="309"/>
    </row>
    <row r="127" spans="8:86" ht="45" customHeight="1">
      <c r="H127" s="15"/>
      <c r="I127" s="12"/>
      <c r="R127" s="267" t="s">
        <v>198</v>
      </c>
      <c r="S127" s="22" t="s">
        <v>87</v>
      </c>
      <c r="T127" s="22" t="s">
        <v>841</v>
      </c>
      <c r="U127" s="244">
        <v>0.13</v>
      </c>
      <c r="V127" s="22" t="s">
        <v>121</v>
      </c>
      <c r="W127" s="24" t="s">
        <v>199</v>
      </c>
      <c r="X127" s="23" t="s">
        <v>512</v>
      </c>
      <c r="Y127" s="269" t="s">
        <v>197</v>
      </c>
      <c r="Z127" s="19"/>
      <c r="AA127" s="19"/>
      <c r="AB127" s="19"/>
      <c r="AC127" s="19"/>
      <c r="AD127" s="19"/>
      <c r="AE127" s="19"/>
      <c r="AF127" s="264" t="s">
        <v>1318</v>
      </c>
      <c r="AG127" s="722" t="s">
        <v>1205</v>
      </c>
      <c r="AH127" s="9" t="s">
        <v>74</v>
      </c>
      <c r="AI127" s="3">
        <v>0.75</v>
      </c>
      <c r="AJ127" s="3">
        <v>0.8</v>
      </c>
      <c r="AK127" s="3">
        <v>0.77500000000000002</v>
      </c>
      <c r="AL127" s="4">
        <v>19.444444444444443</v>
      </c>
      <c r="AM127" s="4">
        <v>21.111111111111111</v>
      </c>
      <c r="AN127" s="9" t="s">
        <v>1188</v>
      </c>
      <c r="AO127" s="256"/>
      <c r="AP127" s="256" t="s">
        <v>1636</v>
      </c>
      <c r="AQ127" s="9"/>
      <c r="AR127" s="9"/>
      <c r="AS127" s="9"/>
      <c r="AT127" s="9"/>
      <c r="AU127" s="309"/>
      <c r="AV127" s="309"/>
      <c r="AW127" s="309"/>
      <c r="AX127" s="309"/>
      <c r="AY127" s="309"/>
      <c r="AZ127" s="309"/>
      <c r="BA127" s="309"/>
      <c r="BB127" s="309"/>
      <c r="BC127" s="309"/>
      <c r="BD127" s="331" t="s">
        <v>1036</v>
      </c>
      <c r="BE127" s="339">
        <v>50</v>
      </c>
      <c r="BF127" s="339">
        <v>100</v>
      </c>
      <c r="BG127" s="340">
        <f t="shared" si="18"/>
        <v>75</v>
      </c>
      <c r="BH127" s="339">
        <v>50</v>
      </c>
      <c r="BI127" s="339">
        <v>100</v>
      </c>
      <c r="BJ127" s="340">
        <f t="shared" si="19"/>
        <v>75</v>
      </c>
      <c r="BK127" s="339">
        <v>50</v>
      </c>
      <c r="BL127" s="339">
        <v>100</v>
      </c>
      <c r="BM127" s="340">
        <f t="shared" si="20"/>
        <v>75</v>
      </c>
      <c r="BN127" s="339">
        <v>0</v>
      </c>
      <c r="BO127" s="339">
        <v>20</v>
      </c>
      <c r="BP127" s="340">
        <f t="shared" si="27"/>
        <v>10</v>
      </c>
      <c r="BQ127" s="339">
        <v>0</v>
      </c>
      <c r="BR127" s="339">
        <v>100</v>
      </c>
      <c r="BS127" s="340">
        <f t="shared" si="22"/>
        <v>50</v>
      </c>
      <c r="BT127" s="339">
        <v>0</v>
      </c>
      <c r="BU127" s="339">
        <v>50</v>
      </c>
      <c r="BV127" s="340">
        <f t="shared" si="23"/>
        <v>25</v>
      </c>
      <c r="BW127" s="1165"/>
      <c r="BX127" s="1166"/>
      <c r="BY127" s="342">
        <f t="shared" si="24"/>
        <v>1</v>
      </c>
      <c r="BZ127" s="341">
        <f t="shared" si="25"/>
        <v>20.491803278688526</v>
      </c>
      <c r="CA127" s="341">
        <f t="shared" si="26"/>
        <v>-15.22248243559719</v>
      </c>
      <c r="CB127" s="335"/>
      <c r="CC127" s="336"/>
      <c r="CD127" s="336"/>
      <c r="CF127" s="309"/>
      <c r="CH127" s="309"/>
    </row>
    <row r="128" spans="8:86" ht="45" customHeight="1">
      <c r="H128" s="693"/>
      <c r="I128" s="12"/>
      <c r="R128" s="267" t="s">
        <v>200</v>
      </c>
      <c r="S128" s="22" t="s">
        <v>87</v>
      </c>
      <c r="T128" s="22" t="s">
        <v>841</v>
      </c>
      <c r="U128" s="244">
        <v>0.06</v>
      </c>
      <c r="V128" s="22" t="s">
        <v>83</v>
      </c>
      <c r="W128" s="23" t="s">
        <v>513</v>
      </c>
      <c r="X128" s="23" t="s">
        <v>514</v>
      </c>
      <c r="Y128" s="269" t="s">
        <v>135</v>
      </c>
      <c r="Z128" s="19"/>
      <c r="AA128" s="19"/>
      <c r="AB128" s="19"/>
      <c r="AC128" s="19"/>
      <c r="AD128" s="19"/>
      <c r="AE128" s="19"/>
      <c r="AF128" s="264" t="s">
        <v>1319</v>
      </c>
      <c r="AG128" s="722" t="s">
        <v>1205</v>
      </c>
      <c r="AH128" s="9" t="s">
        <v>74</v>
      </c>
      <c r="AI128" s="3">
        <v>0.69</v>
      </c>
      <c r="AJ128" s="3">
        <v>0.75</v>
      </c>
      <c r="AK128" s="3">
        <v>0.72</v>
      </c>
      <c r="AL128" s="4">
        <v>20</v>
      </c>
      <c r="AM128" s="4">
        <v>22.777777777777779</v>
      </c>
      <c r="AN128" s="9" t="s">
        <v>1188</v>
      </c>
      <c r="AO128" s="256"/>
      <c r="AP128" s="256" t="s">
        <v>1637</v>
      </c>
      <c r="AQ128" s="9"/>
      <c r="AR128" s="9"/>
      <c r="AS128" s="9"/>
      <c r="AT128" s="9"/>
      <c r="AU128" s="309"/>
      <c r="AV128" s="309"/>
      <c r="AW128" s="309"/>
      <c r="AX128" s="309"/>
      <c r="AY128" s="309"/>
      <c r="AZ128" s="309"/>
      <c r="BA128" s="309"/>
      <c r="BB128" s="309"/>
      <c r="BC128" s="309"/>
      <c r="BD128" s="331" t="s">
        <v>1037</v>
      </c>
      <c r="BE128" s="339"/>
      <c r="BF128" s="339"/>
      <c r="BG128" s="340" t="e">
        <f t="shared" si="18"/>
        <v>#DIV/0!</v>
      </c>
      <c r="BH128" s="339"/>
      <c r="BI128" s="339"/>
      <c r="BJ128" s="340" t="e">
        <f t="shared" si="19"/>
        <v>#DIV/0!</v>
      </c>
      <c r="BK128" s="339"/>
      <c r="BL128" s="339"/>
      <c r="BM128" s="340" t="e">
        <f t="shared" si="20"/>
        <v>#DIV/0!</v>
      </c>
      <c r="BN128" s="339"/>
      <c r="BO128" s="339"/>
      <c r="BP128" s="340" t="e">
        <f t="shared" si="27"/>
        <v>#DIV/0!</v>
      </c>
      <c r="BQ128" s="339"/>
      <c r="BR128" s="339"/>
      <c r="BS128" s="340" t="e">
        <f t="shared" si="22"/>
        <v>#DIV/0!</v>
      </c>
      <c r="BT128" s="339"/>
      <c r="BU128" s="339"/>
      <c r="BV128" s="340" t="e">
        <f t="shared" si="23"/>
        <v>#DIV/0!</v>
      </c>
      <c r="BW128" s="1165"/>
      <c r="BX128" s="1166"/>
      <c r="BY128" s="342" t="str">
        <f t="shared" si="24"/>
        <v>NA</v>
      </c>
      <c r="BZ128" s="341" t="e">
        <f t="shared" si="25"/>
        <v>#DIV/0!</v>
      </c>
      <c r="CA128" s="341" t="e">
        <f t="shared" si="26"/>
        <v>#DIV/0!</v>
      </c>
      <c r="CB128" s="335"/>
      <c r="CC128" s="336"/>
      <c r="CD128" s="336"/>
      <c r="CF128" s="309"/>
      <c r="CH128" s="309"/>
    </row>
    <row r="129" spans="8:86" ht="45" customHeight="1">
      <c r="H129" s="15"/>
      <c r="I129" s="12"/>
      <c r="R129" s="267" t="s">
        <v>201</v>
      </c>
      <c r="S129" s="22" t="s">
        <v>85</v>
      </c>
      <c r="T129" s="22" t="s">
        <v>841</v>
      </c>
      <c r="U129" s="244">
        <v>0.04</v>
      </c>
      <c r="V129" s="22" t="s">
        <v>99</v>
      </c>
      <c r="W129" s="23" t="s">
        <v>515</v>
      </c>
      <c r="X129" s="23" t="s">
        <v>516</v>
      </c>
      <c r="Y129" s="268" t="s">
        <v>517</v>
      </c>
      <c r="Z129" s="19"/>
      <c r="AA129" s="19"/>
      <c r="AB129" s="19"/>
      <c r="AC129" s="19"/>
      <c r="AD129" s="19"/>
      <c r="AE129" s="19"/>
      <c r="AF129" s="264" t="s">
        <v>1320</v>
      </c>
      <c r="AG129" s="722" t="s">
        <v>1236</v>
      </c>
      <c r="AH129" s="9" t="s">
        <v>74</v>
      </c>
      <c r="AI129" s="3"/>
      <c r="AJ129" s="3"/>
      <c r="AK129" s="3">
        <v>0.74</v>
      </c>
      <c r="AL129" s="4">
        <v>17.777777777777779</v>
      </c>
      <c r="AM129" s="4">
        <v>20.555555555555557</v>
      </c>
      <c r="AN129" s="9" t="s">
        <v>1188</v>
      </c>
      <c r="AO129" s="256"/>
      <c r="AP129" s="256" t="s">
        <v>1638</v>
      </c>
      <c r="AQ129" s="9"/>
      <c r="AR129" s="9"/>
      <c r="AS129" s="9"/>
      <c r="AT129" s="9"/>
      <c r="AU129" s="309"/>
      <c r="AV129" s="309"/>
      <c r="AW129" s="309"/>
      <c r="AX129" s="309"/>
      <c r="AY129" s="309"/>
      <c r="AZ129" s="309"/>
      <c r="BA129" s="309"/>
      <c r="BB129" s="309"/>
      <c r="BC129" s="309"/>
      <c r="BD129" s="326" t="s">
        <v>1038</v>
      </c>
      <c r="BE129" s="339"/>
      <c r="BF129" s="339"/>
      <c r="BG129" s="340" t="e">
        <f t="shared" si="18"/>
        <v>#DIV/0!</v>
      </c>
      <c r="BH129" s="339"/>
      <c r="BI129" s="339"/>
      <c r="BJ129" s="340" t="e">
        <f t="shared" si="19"/>
        <v>#DIV/0!</v>
      </c>
      <c r="BK129" s="339"/>
      <c r="BL129" s="339"/>
      <c r="BM129" s="340" t="e">
        <f t="shared" si="20"/>
        <v>#DIV/0!</v>
      </c>
      <c r="BN129" s="339"/>
      <c r="BO129" s="339"/>
      <c r="BP129" s="340" t="e">
        <f t="shared" si="27"/>
        <v>#DIV/0!</v>
      </c>
      <c r="BQ129" s="339"/>
      <c r="BR129" s="339"/>
      <c r="BS129" s="340" t="e">
        <f t="shared" si="22"/>
        <v>#DIV/0!</v>
      </c>
      <c r="BT129" s="339"/>
      <c r="BU129" s="339"/>
      <c r="BV129" s="340" t="e">
        <f t="shared" si="23"/>
        <v>#DIV/0!</v>
      </c>
      <c r="BW129" s="1165"/>
      <c r="BX129" s="1166"/>
      <c r="BY129" s="342" t="str">
        <f t="shared" si="24"/>
        <v>NA</v>
      </c>
      <c r="BZ129" s="341" t="e">
        <f t="shared" si="25"/>
        <v>#DIV/0!</v>
      </c>
      <c r="CA129" s="341" t="e">
        <f t="shared" si="26"/>
        <v>#DIV/0!</v>
      </c>
      <c r="CB129" s="335"/>
      <c r="CC129" s="336"/>
      <c r="CD129" s="336"/>
      <c r="CF129" s="309"/>
      <c r="CH129" s="309"/>
    </row>
    <row r="130" spans="8:86" ht="45" customHeight="1">
      <c r="H130" s="15"/>
      <c r="I130" s="12"/>
      <c r="P130" s="12"/>
      <c r="R130" s="267" t="s">
        <v>202</v>
      </c>
      <c r="S130" s="22" t="s">
        <v>85</v>
      </c>
      <c r="T130" s="22" t="s">
        <v>841</v>
      </c>
      <c r="U130" s="244">
        <v>0.05</v>
      </c>
      <c r="V130" s="22" t="s">
        <v>99</v>
      </c>
      <c r="W130" s="23" t="s">
        <v>518</v>
      </c>
      <c r="X130" s="24" t="s">
        <v>519</v>
      </c>
      <c r="Y130" s="268" t="s">
        <v>520</v>
      </c>
      <c r="Z130" s="19"/>
      <c r="AA130" s="19"/>
      <c r="AB130" s="19"/>
      <c r="AC130" s="19"/>
      <c r="AD130" s="19"/>
      <c r="AE130" s="19"/>
      <c r="AF130" s="264" t="s">
        <v>1321</v>
      </c>
      <c r="AG130" s="722" t="s">
        <v>1244</v>
      </c>
      <c r="AH130" s="9" t="s">
        <v>72</v>
      </c>
      <c r="AI130" s="3"/>
      <c r="AJ130" s="3"/>
      <c r="AK130" s="3"/>
      <c r="AL130" s="4">
        <v>16.666666666666668</v>
      </c>
      <c r="AM130" s="4">
        <v>23.333333333333332</v>
      </c>
      <c r="AN130" s="9" t="s">
        <v>1186</v>
      </c>
      <c r="AO130" s="256"/>
      <c r="AP130" s="256" t="s">
        <v>1639</v>
      </c>
      <c r="AQ130" s="9"/>
      <c r="AR130" s="9"/>
      <c r="AS130" s="9"/>
      <c r="AT130" s="9"/>
      <c r="AU130" s="309"/>
      <c r="AV130" s="309"/>
      <c r="AW130" s="309"/>
      <c r="AX130" s="309"/>
      <c r="AY130" s="309"/>
      <c r="AZ130" s="309"/>
      <c r="BA130" s="309"/>
      <c r="BB130" s="309"/>
      <c r="BC130" s="309"/>
      <c r="BD130" s="331" t="s">
        <v>1039</v>
      </c>
      <c r="BE130" s="339"/>
      <c r="BF130" s="339"/>
      <c r="BG130" s="340" t="e">
        <f t="shared" si="18"/>
        <v>#DIV/0!</v>
      </c>
      <c r="BH130" s="339"/>
      <c r="BI130" s="339"/>
      <c r="BJ130" s="340" t="e">
        <f t="shared" si="19"/>
        <v>#DIV/0!</v>
      </c>
      <c r="BK130" s="339"/>
      <c r="BL130" s="339"/>
      <c r="BM130" s="340" t="e">
        <f t="shared" si="20"/>
        <v>#DIV/0!</v>
      </c>
      <c r="BN130" s="339"/>
      <c r="BO130" s="339"/>
      <c r="BP130" s="340" t="e">
        <f t="shared" si="27"/>
        <v>#DIV/0!</v>
      </c>
      <c r="BQ130" s="339"/>
      <c r="BR130" s="339"/>
      <c r="BS130" s="340" t="e">
        <f t="shared" si="22"/>
        <v>#DIV/0!</v>
      </c>
      <c r="BT130" s="339"/>
      <c r="BU130" s="339"/>
      <c r="BV130" s="340" t="e">
        <f t="shared" si="23"/>
        <v>#DIV/0!</v>
      </c>
      <c r="BW130" s="1165"/>
      <c r="BX130" s="1166"/>
      <c r="BY130" s="342" t="str">
        <f t="shared" si="24"/>
        <v>NA</v>
      </c>
      <c r="BZ130" s="341" t="e">
        <f t="shared" si="25"/>
        <v>#DIV/0!</v>
      </c>
      <c r="CA130" s="341" t="e">
        <f t="shared" si="26"/>
        <v>#DIV/0!</v>
      </c>
      <c r="CB130" s="335"/>
      <c r="CC130" s="336"/>
      <c r="CD130" s="336"/>
      <c r="CF130" s="309"/>
      <c r="CH130" s="309"/>
    </row>
    <row r="131" spans="8:86" ht="45" customHeight="1">
      <c r="H131" s="15"/>
      <c r="I131" s="12"/>
      <c r="N131" s="19"/>
      <c r="O131" s="19"/>
      <c r="P131" s="19"/>
      <c r="R131" s="267" t="s">
        <v>203</v>
      </c>
      <c r="S131" s="22" t="s">
        <v>85</v>
      </c>
      <c r="T131" s="22" t="s">
        <v>841</v>
      </c>
      <c r="U131" s="244">
        <v>0.08</v>
      </c>
      <c r="V131" s="22" t="s">
        <v>233</v>
      </c>
      <c r="W131" s="23" t="s">
        <v>521</v>
      </c>
      <c r="X131" s="23" t="s">
        <v>522</v>
      </c>
      <c r="Y131" s="269" t="s">
        <v>523</v>
      </c>
      <c r="Z131" s="19"/>
      <c r="AA131" s="19"/>
      <c r="AB131" s="19"/>
      <c r="AC131" s="19"/>
      <c r="AD131" s="19"/>
      <c r="AE131" s="19"/>
      <c r="AF131" s="264" t="s">
        <v>1322</v>
      </c>
      <c r="AG131" s="722" t="s">
        <v>1208</v>
      </c>
      <c r="AH131" s="9" t="s">
        <v>74</v>
      </c>
      <c r="AI131" s="3">
        <v>0.7</v>
      </c>
      <c r="AJ131" s="3">
        <v>0.85</v>
      </c>
      <c r="AK131" s="3">
        <v>0.77500000000000002</v>
      </c>
      <c r="AL131" s="4">
        <v>20</v>
      </c>
      <c r="AM131" s="4">
        <v>26.666666666666668</v>
      </c>
      <c r="AN131" s="9" t="s">
        <v>1198</v>
      </c>
      <c r="AO131" s="256"/>
      <c r="AP131" s="256" t="s">
        <v>1640</v>
      </c>
      <c r="AQ131" s="9"/>
      <c r="AR131" s="9"/>
      <c r="AS131" s="9"/>
      <c r="AT131" s="9"/>
      <c r="AU131" s="309"/>
      <c r="AV131" s="309"/>
      <c r="AW131" s="309"/>
      <c r="AX131" s="309"/>
      <c r="AY131" s="309"/>
      <c r="AZ131" s="309"/>
      <c r="BA131" s="309"/>
      <c r="BB131" s="309"/>
      <c r="BC131" s="309"/>
      <c r="BD131" s="331" t="s">
        <v>1040</v>
      </c>
      <c r="BE131" s="339"/>
      <c r="BF131" s="339"/>
      <c r="BG131" s="340" t="e">
        <f t="shared" si="18"/>
        <v>#DIV/0!</v>
      </c>
      <c r="BH131" s="339"/>
      <c r="BI131" s="339"/>
      <c r="BJ131" s="340" t="e">
        <f t="shared" si="19"/>
        <v>#DIV/0!</v>
      </c>
      <c r="BK131" s="339"/>
      <c r="BL131" s="339"/>
      <c r="BM131" s="340" t="e">
        <f t="shared" si="20"/>
        <v>#DIV/0!</v>
      </c>
      <c r="BN131" s="339"/>
      <c r="BO131" s="339"/>
      <c r="BP131" s="340" t="e">
        <f t="shared" si="27"/>
        <v>#DIV/0!</v>
      </c>
      <c r="BQ131" s="339"/>
      <c r="BR131" s="339"/>
      <c r="BS131" s="340" t="e">
        <f t="shared" si="22"/>
        <v>#DIV/0!</v>
      </c>
      <c r="BT131" s="339"/>
      <c r="BU131" s="339"/>
      <c r="BV131" s="340" t="e">
        <f t="shared" si="23"/>
        <v>#DIV/0!</v>
      </c>
      <c r="BW131" s="1165"/>
      <c r="BX131" s="1166"/>
      <c r="BY131" s="342" t="str">
        <f t="shared" si="24"/>
        <v>NA</v>
      </c>
      <c r="BZ131" s="341" t="e">
        <f t="shared" si="25"/>
        <v>#DIV/0!</v>
      </c>
      <c r="CA131" s="341" t="e">
        <f t="shared" si="26"/>
        <v>#DIV/0!</v>
      </c>
      <c r="CB131" s="335"/>
      <c r="CC131" s="336"/>
      <c r="CD131" s="336"/>
      <c r="CF131" s="309"/>
      <c r="CH131" s="309"/>
    </row>
    <row r="132" spans="8:86" ht="45" customHeight="1">
      <c r="H132" s="15"/>
      <c r="I132" s="12"/>
      <c r="N132" s="19"/>
      <c r="O132" s="19"/>
      <c r="P132" s="19"/>
      <c r="R132" s="267" t="s">
        <v>204</v>
      </c>
      <c r="S132" s="22" t="s">
        <v>87</v>
      </c>
      <c r="T132" s="22" t="s">
        <v>841</v>
      </c>
      <c r="U132" s="244">
        <v>0.14000000000000001</v>
      </c>
      <c r="V132" s="22" t="s">
        <v>121</v>
      </c>
      <c r="W132" s="23" t="s">
        <v>524</v>
      </c>
      <c r="X132" s="23" t="s">
        <v>525</v>
      </c>
      <c r="Y132" s="268" t="s">
        <v>526</v>
      </c>
      <c r="Z132" s="19"/>
      <c r="AA132" s="19"/>
      <c r="AB132" s="19"/>
      <c r="AC132" s="19"/>
      <c r="AD132" s="19"/>
      <c r="AE132" s="19"/>
      <c r="AF132" s="264" t="s">
        <v>1324</v>
      </c>
      <c r="AG132" s="722" t="s">
        <v>1205</v>
      </c>
      <c r="AH132" s="9" t="s">
        <v>74</v>
      </c>
      <c r="AI132" s="3">
        <v>0.73</v>
      </c>
      <c r="AJ132" s="3">
        <v>0.8</v>
      </c>
      <c r="AK132" s="3">
        <v>0.76500000000000001</v>
      </c>
      <c r="AL132" s="4">
        <v>20</v>
      </c>
      <c r="AM132" s="4">
        <v>22.777777777777779</v>
      </c>
      <c r="AN132" s="9" t="s">
        <v>1188</v>
      </c>
      <c r="AO132" s="256"/>
      <c r="AP132" s="256" t="s">
        <v>1642</v>
      </c>
      <c r="AQ132" s="9"/>
      <c r="AR132" s="9"/>
      <c r="AS132" s="9"/>
      <c r="AT132" s="9"/>
      <c r="AU132" s="309"/>
      <c r="AV132" s="309"/>
      <c r="AW132" s="309"/>
      <c r="AX132" s="309"/>
      <c r="AY132" s="309"/>
      <c r="AZ132" s="309"/>
      <c r="BA132" s="309"/>
      <c r="BB132" s="309"/>
      <c r="BC132" s="309"/>
      <c r="BD132" s="331" t="s">
        <v>1041</v>
      </c>
      <c r="BE132" s="339"/>
      <c r="BF132" s="339"/>
      <c r="BG132" s="340" t="e">
        <f t="shared" si="18"/>
        <v>#DIV/0!</v>
      </c>
      <c r="BH132" s="339"/>
      <c r="BI132" s="339"/>
      <c r="BJ132" s="340" t="e">
        <f t="shared" si="19"/>
        <v>#DIV/0!</v>
      </c>
      <c r="BK132" s="339"/>
      <c r="BL132" s="339"/>
      <c r="BM132" s="340" t="e">
        <f t="shared" si="20"/>
        <v>#DIV/0!</v>
      </c>
      <c r="BN132" s="339"/>
      <c r="BO132" s="339"/>
      <c r="BP132" s="340" t="e">
        <f t="shared" si="27"/>
        <v>#DIV/0!</v>
      </c>
      <c r="BQ132" s="339"/>
      <c r="BR132" s="339"/>
      <c r="BS132" s="340" t="e">
        <f t="shared" si="22"/>
        <v>#DIV/0!</v>
      </c>
      <c r="BT132" s="339"/>
      <c r="BU132" s="339"/>
      <c r="BV132" s="340" t="e">
        <f t="shared" si="23"/>
        <v>#DIV/0!</v>
      </c>
      <c r="BW132" s="1165"/>
      <c r="BX132" s="1166"/>
      <c r="BY132" s="342" t="str">
        <f t="shared" si="24"/>
        <v>NA</v>
      </c>
      <c r="BZ132" s="341" t="e">
        <f t="shared" si="25"/>
        <v>#DIV/0!</v>
      </c>
      <c r="CA132" s="341" t="e">
        <f t="shared" si="26"/>
        <v>#DIV/0!</v>
      </c>
      <c r="CB132" s="335"/>
      <c r="CC132" s="336"/>
      <c r="CD132" s="336"/>
      <c r="CF132" s="309"/>
      <c r="CH132" s="309"/>
    </row>
    <row r="133" spans="8:86" ht="45" customHeight="1">
      <c r="H133" s="15"/>
      <c r="I133" s="12"/>
      <c r="N133" s="19"/>
      <c r="O133" s="19"/>
      <c r="P133" s="19"/>
      <c r="R133" s="267" t="s">
        <v>205</v>
      </c>
      <c r="S133" s="22" t="s">
        <v>85</v>
      </c>
      <c r="T133" s="22" t="s">
        <v>841</v>
      </c>
      <c r="U133" s="244">
        <v>0.02</v>
      </c>
      <c r="V133" s="21" t="s">
        <v>527</v>
      </c>
      <c r="W133" s="23" t="s">
        <v>528</v>
      </c>
      <c r="X133" s="23" t="s">
        <v>529</v>
      </c>
      <c r="Y133" s="268" t="s">
        <v>530</v>
      </c>
      <c r="Z133" s="19"/>
      <c r="AA133" s="19"/>
      <c r="AB133" s="19"/>
      <c r="AC133" s="19"/>
      <c r="AD133" s="19"/>
      <c r="AE133" s="19"/>
      <c r="AF133" s="264" t="s">
        <v>1325</v>
      </c>
      <c r="AG133" s="722" t="s">
        <v>1205</v>
      </c>
      <c r="AH133" s="9" t="s">
        <v>74</v>
      </c>
      <c r="AI133" s="3">
        <v>0</v>
      </c>
      <c r="AJ133" s="3">
        <v>0</v>
      </c>
      <c r="AK133" s="3"/>
      <c r="AL133" s="4">
        <v>-17.777777777777779</v>
      </c>
      <c r="AM133" s="4">
        <v>-17.777777777777779</v>
      </c>
      <c r="AN133" s="9"/>
      <c r="AO133" s="256"/>
      <c r="AP133" s="256" t="s">
        <v>1643</v>
      </c>
      <c r="AQ133" s="9"/>
      <c r="AR133" s="9"/>
      <c r="AS133" s="9"/>
      <c r="AT133" s="9"/>
      <c r="AU133" s="309"/>
      <c r="AV133" s="309"/>
      <c r="AW133" s="309"/>
      <c r="AX133" s="309"/>
      <c r="AY133" s="309"/>
      <c r="AZ133" s="309"/>
      <c r="BA133" s="309"/>
      <c r="BB133" s="309"/>
      <c r="BC133" s="309"/>
      <c r="BD133" s="331" t="s">
        <v>1042</v>
      </c>
      <c r="BE133" s="339"/>
      <c r="BF133" s="339"/>
      <c r="BG133" s="340" t="e">
        <f t="shared" si="18"/>
        <v>#DIV/0!</v>
      </c>
      <c r="BH133" s="339"/>
      <c r="BI133" s="339"/>
      <c r="BJ133" s="340" t="e">
        <f t="shared" si="19"/>
        <v>#DIV/0!</v>
      </c>
      <c r="BK133" s="339"/>
      <c r="BL133" s="339"/>
      <c r="BM133" s="340" t="e">
        <f t="shared" si="20"/>
        <v>#DIV/0!</v>
      </c>
      <c r="BN133" s="339"/>
      <c r="BO133" s="339"/>
      <c r="BP133" s="340" t="e">
        <f t="shared" si="27"/>
        <v>#DIV/0!</v>
      </c>
      <c r="BQ133" s="339"/>
      <c r="BR133" s="339"/>
      <c r="BS133" s="340" t="e">
        <f t="shared" si="22"/>
        <v>#DIV/0!</v>
      </c>
      <c r="BT133" s="339"/>
      <c r="BU133" s="339"/>
      <c r="BV133" s="340" t="e">
        <f t="shared" si="23"/>
        <v>#DIV/0!</v>
      </c>
      <c r="BW133" s="1165"/>
      <c r="BX133" s="1166"/>
      <c r="BY133" s="342" t="str">
        <f t="shared" si="24"/>
        <v>NA</v>
      </c>
      <c r="BZ133" s="341" t="e">
        <f t="shared" si="25"/>
        <v>#DIV/0!</v>
      </c>
      <c r="CA133" s="341" t="e">
        <f t="shared" si="26"/>
        <v>#DIV/0!</v>
      </c>
      <c r="CB133" s="335"/>
      <c r="CC133" s="336"/>
      <c r="CD133" s="336"/>
      <c r="CF133" s="309"/>
      <c r="CH133" s="309"/>
    </row>
    <row r="134" spans="8:86" ht="45" customHeight="1">
      <c r="H134" s="15"/>
      <c r="I134" s="12"/>
      <c r="P134" s="695"/>
      <c r="R134" s="267" t="s">
        <v>93</v>
      </c>
      <c r="S134" s="22" t="s">
        <v>85</v>
      </c>
      <c r="T134" s="22" t="s">
        <v>841</v>
      </c>
      <c r="U134" s="244">
        <v>5.5E-2</v>
      </c>
      <c r="V134" s="22" t="s">
        <v>92</v>
      </c>
      <c r="W134" s="23" t="s">
        <v>531</v>
      </c>
      <c r="X134" s="23" t="s">
        <v>532</v>
      </c>
      <c r="Y134" s="268" t="s">
        <v>303</v>
      </c>
      <c r="Z134" s="19"/>
      <c r="AA134" s="19"/>
      <c r="AB134" s="19"/>
      <c r="AC134" s="19"/>
      <c r="AD134" s="19"/>
      <c r="AE134" s="19"/>
      <c r="AF134" s="264" t="s">
        <v>1326</v>
      </c>
      <c r="AG134" s="722" t="s">
        <v>1213</v>
      </c>
      <c r="AH134" s="9" t="s">
        <v>74</v>
      </c>
      <c r="AI134" s="3">
        <v>0.67</v>
      </c>
      <c r="AJ134" s="3">
        <v>0.71</v>
      </c>
      <c r="AK134" s="3">
        <v>0.69</v>
      </c>
      <c r="AL134" s="4">
        <v>14.444444444444445</v>
      </c>
      <c r="AM134" s="4">
        <v>20</v>
      </c>
      <c r="AN134" s="9" t="s">
        <v>1186</v>
      </c>
      <c r="AO134" s="256"/>
      <c r="AP134" s="256" t="s">
        <v>1644</v>
      </c>
      <c r="AQ134" s="9"/>
      <c r="AR134" s="9"/>
      <c r="AS134" s="9"/>
      <c r="AT134" s="9"/>
      <c r="AU134" s="309"/>
      <c r="AV134" s="309"/>
      <c r="AW134" s="309"/>
      <c r="AX134" s="309"/>
      <c r="AY134" s="309"/>
      <c r="AZ134" s="309"/>
      <c r="BA134" s="309"/>
      <c r="BB134" s="309"/>
      <c r="BC134" s="309"/>
      <c r="BD134" s="331" t="s">
        <v>1043</v>
      </c>
      <c r="BE134" s="339"/>
      <c r="BF134" s="339"/>
      <c r="BG134" s="340" t="e">
        <f t="shared" si="18"/>
        <v>#DIV/0!</v>
      </c>
      <c r="BH134" s="339"/>
      <c r="BI134" s="339"/>
      <c r="BJ134" s="340" t="e">
        <f t="shared" si="19"/>
        <v>#DIV/0!</v>
      </c>
      <c r="BK134" s="339"/>
      <c r="BL134" s="339"/>
      <c r="BM134" s="340" t="e">
        <f t="shared" si="20"/>
        <v>#DIV/0!</v>
      </c>
      <c r="BN134" s="339"/>
      <c r="BO134" s="339"/>
      <c r="BP134" s="340" t="e">
        <f t="shared" si="27"/>
        <v>#DIV/0!</v>
      </c>
      <c r="BQ134" s="339"/>
      <c r="BR134" s="339"/>
      <c r="BS134" s="340" t="e">
        <f t="shared" si="22"/>
        <v>#DIV/0!</v>
      </c>
      <c r="BT134" s="339"/>
      <c r="BU134" s="339"/>
      <c r="BV134" s="340" t="e">
        <f t="shared" si="23"/>
        <v>#DIV/0!</v>
      </c>
      <c r="BW134" s="1165"/>
      <c r="BX134" s="1166"/>
      <c r="BY134" s="342" t="str">
        <f t="shared" si="24"/>
        <v>NA</v>
      </c>
      <c r="BZ134" s="341" t="e">
        <f t="shared" si="25"/>
        <v>#DIV/0!</v>
      </c>
      <c r="CA134" s="341" t="e">
        <f t="shared" si="26"/>
        <v>#DIV/0!</v>
      </c>
      <c r="CB134" s="335"/>
      <c r="CC134" s="336"/>
      <c r="CD134" s="336"/>
      <c r="CF134" s="309"/>
      <c r="CH134" s="309"/>
    </row>
    <row r="135" spans="8:86" ht="45" customHeight="1">
      <c r="H135" s="15"/>
      <c r="I135" s="12"/>
      <c r="N135" s="19"/>
      <c r="O135" s="19"/>
      <c r="P135" s="19"/>
      <c r="R135" s="267" t="s">
        <v>206</v>
      </c>
      <c r="S135" s="22" t="s">
        <v>85</v>
      </c>
      <c r="T135" s="22" t="s">
        <v>841</v>
      </c>
      <c r="U135" s="244">
        <v>0.06</v>
      </c>
      <c r="V135" s="22" t="s">
        <v>126</v>
      </c>
      <c r="W135" s="23" t="s">
        <v>533</v>
      </c>
      <c r="X135" s="23" t="s">
        <v>534</v>
      </c>
      <c r="Y135" s="268" t="s">
        <v>535</v>
      </c>
      <c r="Z135" s="19"/>
      <c r="AA135" s="19"/>
      <c r="AB135" s="19"/>
      <c r="AC135" s="19"/>
      <c r="AD135" s="19"/>
      <c r="AE135" s="19"/>
      <c r="AF135" s="264" t="s">
        <v>1323</v>
      </c>
      <c r="AG135" s="722" t="s">
        <v>1205</v>
      </c>
      <c r="AH135" s="9" t="s">
        <v>74</v>
      </c>
      <c r="AI135" s="3">
        <v>0.7</v>
      </c>
      <c r="AJ135" s="3">
        <v>0.75</v>
      </c>
      <c r="AK135" s="3">
        <v>0.72499999999999998</v>
      </c>
      <c r="AL135" s="4">
        <v>18.888888888888889</v>
      </c>
      <c r="AM135" s="4">
        <v>21.111111111111111</v>
      </c>
      <c r="AN135" s="9" t="s">
        <v>1196</v>
      </c>
      <c r="AO135" s="256"/>
      <c r="AP135" s="256" t="s">
        <v>1641</v>
      </c>
      <c r="AQ135" s="9"/>
      <c r="AR135" s="9"/>
      <c r="AS135" s="9"/>
      <c r="AT135" s="9"/>
      <c r="AU135" s="309"/>
      <c r="AV135" s="309"/>
      <c r="AW135" s="309"/>
      <c r="AX135" s="309"/>
      <c r="AY135" s="309"/>
      <c r="AZ135" s="309"/>
      <c r="BA135" s="309"/>
      <c r="BB135" s="309"/>
      <c r="BC135" s="309"/>
      <c r="BD135" s="331" t="s">
        <v>1044</v>
      </c>
      <c r="BE135" s="339"/>
      <c r="BF135" s="339"/>
      <c r="BG135" s="340" t="e">
        <f t="shared" si="18"/>
        <v>#DIV/0!</v>
      </c>
      <c r="BH135" s="339"/>
      <c r="BI135" s="339"/>
      <c r="BJ135" s="340" t="e">
        <f t="shared" si="19"/>
        <v>#DIV/0!</v>
      </c>
      <c r="BK135" s="339"/>
      <c r="BL135" s="339"/>
      <c r="BM135" s="340" t="e">
        <f t="shared" si="20"/>
        <v>#DIV/0!</v>
      </c>
      <c r="BN135" s="339"/>
      <c r="BO135" s="339"/>
      <c r="BP135" s="340" t="e">
        <f t="shared" si="27"/>
        <v>#DIV/0!</v>
      </c>
      <c r="BQ135" s="339"/>
      <c r="BR135" s="339"/>
      <c r="BS135" s="340" t="e">
        <f t="shared" si="22"/>
        <v>#DIV/0!</v>
      </c>
      <c r="BT135" s="339"/>
      <c r="BU135" s="339"/>
      <c r="BV135" s="340" t="e">
        <f t="shared" si="23"/>
        <v>#DIV/0!</v>
      </c>
      <c r="BW135" s="1165"/>
      <c r="BX135" s="1166"/>
      <c r="BY135" s="342" t="str">
        <f t="shared" si="24"/>
        <v>NA</v>
      </c>
      <c r="BZ135" s="341" t="e">
        <f t="shared" si="25"/>
        <v>#DIV/0!</v>
      </c>
      <c r="CA135" s="341" t="e">
        <f t="shared" si="26"/>
        <v>#DIV/0!</v>
      </c>
      <c r="CB135" s="335"/>
      <c r="CC135" s="336"/>
      <c r="CD135" s="336"/>
      <c r="CF135" s="309"/>
      <c r="CH135" s="309"/>
    </row>
    <row r="136" spans="8:86" ht="45" customHeight="1">
      <c r="I136" s="12"/>
      <c r="R136" s="267" t="s">
        <v>207</v>
      </c>
      <c r="S136" s="22" t="s">
        <v>82</v>
      </c>
      <c r="T136" s="22" t="s">
        <v>841</v>
      </c>
      <c r="U136" s="244">
        <v>0.18</v>
      </c>
      <c r="V136" s="22" t="s">
        <v>233</v>
      </c>
      <c r="W136" s="23" t="s">
        <v>536</v>
      </c>
      <c r="X136" s="23" t="s">
        <v>537</v>
      </c>
      <c r="Y136" s="268" t="s">
        <v>538</v>
      </c>
      <c r="Z136" s="19"/>
      <c r="AA136" s="19"/>
      <c r="AB136" s="19"/>
      <c r="AC136" s="19"/>
      <c r="AD136" s="19"/>
      <c r="AE136" s="19"/>
      <c r="AF136" s="264" t="s">
        <v>1327</v>
      </c>
      <c r="AG136" s="722" t="s">
        <v>1213</v>
      </c>
      <c r="AH136" s="9" t="s">
        <v>74</v>
      </c>
      <c r="AI136" s="3">
        <v>0.75</v>
      </c>
      <c r="AJ136" s="3">
        <v>0.79</v>
      </c>
      <c r="AK136" s="3">
        <v>0.77</v>
      </c>
      <c r="AL136" s="4">
        <v>18.333333333333332</v>
      </c>
      <c r="AM136" s="4">
        <v>26.666666666666668</v>
      </c>
      <c r="AN136" s="9" t="s">
        <v>1188</v>
      </c>
      <c r="AO136" s="256"/>
      <c r="AP136" s="256" t="s">
        <v>1645</v>
      </c>
      <c r="AQ136" s="9"/>
      <c r="AR136" s="9"/>
      <c r="AS136" s="9"/>
      <c r="AT136" s="9"/>
      <c r="AU136" s="309"/>
      <c r="AV136" s="309"/>
      <c r="AW136" s="309"/>
      <c r="AX136" s="309"/>
      <c r="AY136" s="309"/>
      <c r="AZ136" s="309"/>
      <c r="BA136" s="309"/>
      <c r="BB136" s="309"/>
      <c r="BC136" s="309"/>
      <c r="BD136" s="331" t="s">
        <v>1045</v>
      </c>
      <c r="BE136" s="339"/>
      <c r="BF136" s="339"/>
      <c r="BG136" s="340" t="e">
        <f t="shared" si="18"/>
        <v>#DIV/0!</v>
      </c>
      <c r="BH136" s="339"/>
      <c r="BI136" s="339"/>
      <c r="BJ136" s="340" t="e">
        <f t="shared" si="19"/>
        <v>#DIV/0!</v>
      </c>
      <c r="BK136" s="339"/>
      <c r="BL136" s="339"/>
      <c r="BM136" s="340" t="e">
        <f t="shared" si="20"/>
        <v>#DIV/0!</v>
      </c>
      <c r="BN136" s="339"/>
      <c r="BO136" s="339"/>
      <c r="BP136" s="340" t="e">
        <f t="shared" si="27"/>
        <v>#DIV/0!</v>
      </c>
      <c r="BQ136" s="339"/>
      <c r="BR136" s="339"/>
      <c r="BS136" s="340" t="e">
        <f t="shared" si="22"/>
        <v>#DIV/0!</v>
      </c>
      <c r="BT136" s="339"/>
      <c r="BU136" s="339"/>
      <c r="BV136" s="340" t="e">
        <f t="shared" si="23"/>
        <v>#DIV/0!</v>
      </c>
      <c r="BW136" s="1165"/>
      <c r="BX136" s="1166"/>
      <c r="BY136" s="342" t="str">
        <f t="shared" si="24"/>
        <v>NA</v>
      </c>
      <c r="BZ136" s="341" t="e">
        <f t="shared" si="25"/>
        <v>#DIV/0!</v>
      </c>
      <c r="CA136" s="341" t="e">
        <f t="shared" si="26"/>
        <v>#DIV/0!</v>
      </c>
      <c r="CB136" s="335"/>
      <c r="CC136" s="336"/>
      <c r="CD136" s="336"/>
      <c r="CF136" s="309"/>
      <c r="CH136" s="309"/>
    </row>
    <row r="137" spans="8:86" ht="45" customHeight="1">
      <c r="I137" s="12"/>
      <c r="R137" s="267" t="s">
        <v>208</v>
      </c>
      <c r="S137" s="22" t="s">
        <v>82</v>
      </c>
      <c r="T137" s="22" t="s">
        <v>841</v>
      </c>
      <c r="U137" s="244">
        <v>0.14000000000000001</v>
      </c>
      <c r="V137" s="22"/>
      <c r="W137" s="23" t="s">
        <v>539</v>
      </c>
      <c r="X137" s="24" t="s">
        <v>540</v>
      </c>
      <c r="Y137" s="268" t="s">
        <v>541</v>
      </c>
      <c r="Z137" s="19"/>
      <c r="AA137" s="19"/>
      <c r="AB137" s="19"/>
      <c r="AC137" s="19"/>
      <c r="AD137" s="19"/>
      <c r="AE137" s="19"/>
      <c r="AF137" s="264" t="s">
        <v>1328</v>
      </c>
      <c r="AG137" s="722" t="s">
        <v>1203</v>
      </c>
      <c r="AH137" s="9" t="s">
        <v>72</v>
      </c>
      <c r="AI137" s="3"/>
      <c r="AJ137" s="3"/>
      <c r="AK137" s="3"/>
      <c r="AL137" s="4">
        <v>15</v>
      </c>
      <c r="AM137" s="4">
        <v>25</v>
      </c>
      <c r="AN137" s="9" t="s">
        <v>1190</v>
      </c>
      <c r="AO137" s="256"/>
      <c r="AP137" s="256" t="s">
        <v>1646</v>
      </c>
      <c r="AQ137" s="9"/>
      <c r="AR137" s="9"/>
      <c r="AS137" s="9"/>
      <c r="AT137" s="9"/>
      <c r="AU137" s="309"/>
      <c r="AV137" s="309"/>
      <c r="AW137" s="309"/>
      <c r="AX137" s="309"/>
      <c r="AY137" s="309"/>
      <c r="AZ137" s="309"/>
      <c r="BA137" s="309"/>
      <c r="BB137" s="309"/>
      <c r="BC137" s="309"/>
      <c r="BD137" s="331" t="s">
        <v>1046</v>
      </c>
      <c r="BE137" s="339"/>
      <c r="BF137" s="339"/>
      <c r="BG137" s="340" t="e">
        <f t="shared" si="18"/>
        <v>#DIV/0!</v>
      </c>
      <c r="BH137" s="339"/>
      <c r="BI137" s="339"/>
      <c r="BJ137" s="340" t="e">
        <f t="shared" si="19"/>
        <v>#DIV/0!</v>
      </c>
      <c r="BK137" s="339"/>
      <c r="BL137" s="339"/>
      <c r="BM137" s="340" t="e">
        <f t="shared" si="20"/>
        <v>#DIV/0!</v>
      </c>
      <c r="BN137" s="339"/>
      <c r="BO137" s="339"/>
      <c r="BP137" s="340" t="e">
        <f t="shared" si="27"/>
        <v>#DIV/0!</v>
      </c>
      <c r="BQ137" s="339"/>
      <c r="BR137" s="339"/>
      <c r="BS137" s="340" t="e">
        <f t="shared" si="22"/>
        <v>#DIV/0!</v>
      </c>
      <c r="BT137" s="339"/>
      <c r="BU137" s="339"/>
      <c r="BV137" s="340" t="e">
        <f t="shared" si="23"/>
        <v>#DIV/0!</v>
      </c>
      <c r="BW137" s="1165"/>
      <c r="BX137" s="1166"/>
      <c r="BY137" s="342" t="str">
        <f t="shared" si="24"/>
        <v>NA</v>
      </c>
      <c r="BZ137" s="341" t="e">
        <f t="shared" si="25"/>
        <v>#DIV/0!</v>
      </c>
      <c r="CA137" s="341" t="e">
        <f t="shared" si="26"/>
        <v>#DIV/0!</v>
      </c>
      <c r="CB137" s="335"/>
      <c r="CC137" s="336"/>
      <c r="CD137" s="336"/>
      <c r="CF137" s="309"/>
      <c r="CH137" s="309"/>
    </row>
    <row r="138" spans="8:86" ht="45" customHeight="1">
      <c r="I138" s="12"/>
      <c r="R138" s="267" t="s">
        <v>209</v>
      </c>
      <c r="S138" s="22" t="s">
        <v>82</v>
      </c>
      <c r="T138" s="22" t="s">
        <v>841</v>
      </c>
      <c r="U138" s="244">
        <v>0.15</v>
      </c>
      <c r="V138" s="22" t="s">
        <v>233</v>
      </c>
      <c r="W138" s="23" t="s">
        <v>542</v>
      </c>
      <c r="X138" s="23" t="s">
        <v>543</v>
      </c>
      <c r="Y138" s="268" t="s">
        <v>544</v>
      </c>
      <c r="Z138" s="19"/>
      <c r="AA138" s="19"/>
      <c r="AB138" s="19"/>
      <c r="AC138" s="19"/>
      <c r="AD138" s="19"/>
      <c r="AE138" s="19"/>
      <c r="AF138" s="264" t="s">
        <v>1329</v>
      </c>
      <c r="AG138" s="722" t="s">
        <v>1205</v>
      </c>
      <c r="AH138" s="9" t="s">
        <v>74</v>
      </c>
      <c r="AI138" s="3">
        <v>0.72</v>
      </c>
      <c r="AJ138" s="3">
        <v>0.78</v>
      </c>
      <c r="AK138" s="3">
        <v>0.75</v>
      </c>
      <c r="AL138" s="4">
        <v>12.777777777777779</v>
      </c>
      <c r="AM138" s="4">
        <v>22.777777777777779</v>
      </c>
      <c r="AN138" s="9" t="s">
        <v>1198</v>
      </c>
      <c r="AO138" s="256"/>
      <c r="AP138" s="256" t="s">
        <v>1647</v>
      </c>
      <c r="AQ138" s="9"/>
      <c r="AR138" s="9"/>
      <c r="AS138" s="9"/>
      <c r="AT138" s="9"/>
      <c r="AU138" s="309"/>
      <c r="AV138" s="309"/>
      <c r="AW138" s="309"/>
      <c r="AX138" s="309"/>
      <c r="AY138" s="309"/>
      <c r="AZ138" s="309"/>
      <c r="BA138" s="309"/>
      <c r="BB138" s="309"/>
      <c r="BC138" s="309"/>
      <c r="BD138" s="331" t="s">
        <v>1047</v>
      </c>
      <c r="BE138" s="339"/>
      <c r="BF138" s="339"/>
      <c r="BG138" s="340" t="e">
        <f t="shared" si="18"/>
        <v>#DIV/0!</v>
      </c>
      <c r="BH138" s="339"/>
      <c r="BI138" s="339"/>
      <c r="BJ138" s="340" t="e">
        <f t="shared" si="19"/>
        <v>#DIV/0!</v>
      </c>
      <c r="BK138" s="339"/>
      <c r="BL138" s="339"/>
      <c r="BM138" s="340" t="e">
        <f t="shared" si="20"/>
        <v>#DIV/0!</v>
      </c>
      <c r="BN138" s="339"/>
      <c r="BO138" s="339"/>
      <c r="BP138" s="340" t="e">
        <f t="shared" si="27"/>
        <v>#DIV/0!</v>
      </c>
      <c r="BQ138" s="339"/>
      <c r="BR138" s="339"/>
      <c r="BS138" s="340" t="e">
        <f t="shared" si="22"/>
        <v>#DIV/0!</v>
      </c>
      <c r="BT138" s="339"/>
      <c r="BU138" s="339"/>
      <c r="BV138" s="340" t="e">
        <f t="shared" si="23"/>
        <v>#DIV/0!</v>
      </c>
      <c r="BW138" s="1165"/>
      <c r="BX138" s="1166"/>
      <c r="BY138" s="342" t="str">
        <f t="shared" si="24"/>
        <v>NA</v>
      </c>
      <c r="BZ138" s="341" t="e">
        <f t="shared" si="25"/>
        <v>#DIV/0!</v>
      </c>
      <c r="CA138" s="341" t="e">
        <f t="shared" si="26"/>
        <v>#DIV/0!</v>
      </c>
      <c r="CB138" s="335"/>
      <c r="CC138" s="336"/>
      <c r="CD138" s="336"/>
      <c r="CF138" s="309"/>
      <c r="CH138" s="309"/>
    </row>
    <row r="139" spans="8:86" ht="45" customHeight="1">
      <c r="I139" s="12"/>
      <c r="R139" s="267" t="s">
        <v>210</v>
      </c>
      <c r="S139" s="22" t="s">
        <v>82</v>
      </c>
      <c r="T139" s="22" t="s">
        <v>841</v>
      </c>
      <c r="U139" s="244">
        <v>0.14000000000000001</v>
      </c>
      <c r="V139" s="22" t="s">
        <v>126</v>
      </c>
      <c r="W139" s="23" t="s">
        <v>545</v>
      </c>
      <c r="X139" s="23" t="s">
        <v>546</v>
      </c>
      <c r="Y139" s="269" t="s">
        <v>211</v>
      </c>
      <c r="Z139" s="19"/>
      <c r="AA139" s="19"/>
      <c r="AB139" s="19"/>
      <c r="AC139" s="19"/>
      <c r="AD139" s="19"/>
      <c r="AE139" s="19"/>
      <c r="AF139" s="264" t="s">
        <v>1330</v>
      </c>
      <c r="AG139" s="722" t="s">
        <v>1205</v>
      </c>
      <c r="AH139" s="9" t="s">
        <v>74</v>
      </c>
      <c r="AI139" s="3">
        <v>0.75</v>
      </c>
      <c r="AJ139" s="3">
        <v>0.82</v>
      </c>
      <c r="AK139" s="3">
        <v>0.78500000000000003</v>
      </c>
      <c r="AL139" s="4">
        <v>20</v>
      </c>
      <c r="AM139" s="4">
        <v>22.222222222222221</v>
      </c>
      <c r="AN139" s="9" t="s">
        <v>1190</v>
      </c>
      <c r="AO139" s="256"/>
      <c r="AP139" s="256" t="s">
        <v>1648</v>
      </c>
      <c r="AQ139" s="9"/>
      <c r="AR139" s="9"/>
      <c r="AS139" s="9"/>
      <c r="AT139" s="9"/>
      <c r="AU139" s="309"/>
      <c r="AV139" s="309"/>
      <c r="AW139" s="309"/>
      <c r="AX139" s="309"/>
      <c r="AY139" s="309"/>
      <c r="AZ139" s="309"/>
      <c r="BA139" s="309"/>
      <c r="BB139" s="309"/>
      <c r="BC139" s="309"/>
      <c r="BD139" s="326" t="s">
        <v>1048</v>
      </c>
      <c r="BE139" s="339"/>
      <c r="BF139" s="339"/>
      <c r="BG139" s="340" t="e">
        <f t="shared" si="18"/>
        <v>#DIV/0!</v>
      </c>
      <c r="BH139" s="339"/>
      <c r="BI139" s="339"/>
      <c r="BJ139" s="340" t="e">
        <f t="shared" si="19"/>
        <v>#DIV/0!</v>
      </c>
      <c r="BK139" s="339"/>
      <c r="BL139" s="339"/>
      <c r="BM139" s="340" t="e">
        <f t="shared" si="20"/>
        <v>#DIV/0!</v>
      </c>
      <c r="BN139" s="339"/>
      <c r="BO139" s="339"/>
      <c r="BP139" s="340" t="e">
        <f t="shared" si="27"/>
        <v>#DIV/0!</v>
      </c>
      <c r="BQ139" s="339"/>
      <c r="BR139" s="339"/>
      <c r="BS139" s="340" t="e">
        <f t="shared" si="22"/>
        <v>#DIV/0!</v>
      </c>
      <c r="BT139" s="339"/>
      <c r="BU139" s="339"/>
      <c r="BV139" s="340" t="e">
        <f t="shared" si="23"/>
        <v>#DIV/0!</v>
      </c>
      <c r="BW139" s="1165"/>
      <c r="BX139" s="1166"/>
      <c r="BY139" s="342" t="str">
        <f t="shared" si="24"/>
        <v>NA</v>
      </c>
      <c r="BZ139" s="341" t="e">
        <f t="shared" si="25"/>
        <v>#DIV/0!</v>
      </c>
      <c r="CA139" s="341" t="e">
        <f t="shared" si="26"/>
        <v>#DIV/0!</v>
      </c>
      <c r="CB139" s="335"/>
      <c r="CC139" s="336"/>
      <c r="CD139" s="336"/>
      <c r="CF139" s="309"/>
      <c r="CH139" s="309"/>
    </row>
    <row r="140" spans="8:86" ht="45" customHeight="1">
      <c r="I140" s="12"/>
      <c r="R140" s="267" t="s">
        <v>1894</v>
      </c>
      <c r="S140" s="22" t="s">
        <v>85</v>
      </c>
      <c r="T140" s="22" t="s">
        <v>841</v>
      </c>
      <c r="U140" s="244">
        <v>0.104</v>
      </c>
      <c r="V140" s="22" t="s">
        <v>1895</v>
      </c>
      <c r="W140" s="23" t="s">
        <v>1897</v>
      </c>
      <c r="X140" s="23" t="s">
        <v>1896</v>
      </c>
      <c r="Y140" s="268" t="s">
        <v>1898</v>
      </c>
      <c r="AA140" s="19"/>
      <c r="AB140" s="19"/>
      <c r="AC140" s="19"/>
      <c r="AD140" s="19"/>
      <c r="AE140" s="19"/>
      <c r="AF140" s="264" t="s">
        <v>1331</v>
      </c>
      <c r="AG140" s="722" t="s">
        <v>1332</v>
      </c>
      <c r="AH140" s="9" t="s">
        <v>72</v>
      </c>
      <c r="AI140" s="3"/>
      <c r="AJ140" s="3"/>
      <c r="AK140" s="3"/>
      <c r="AL140" s="4">
        <v>20</v>
      </c>
      <c r="AM140" s="4">
        <v>26.666666666666668</v>
      </c>
      <c r="AN140" s="9" t="s">
        <v>1186</v>
      </c>
      <c r="AO140" s="256"/>
      <c r="AP140" s="256" t="s">
        <v>1649</v>
      </c>
      <c r="AQ140" s="9"/>
      <c r="AR140" s="9"/>
      <c r="AS140" s="9"/>
      <c r="AT140" s="9"/>
      <c r="AU140" s="309"/>
      <c r="AV140" s="309"/>
      <c r="AW140" s="309"/>
      <c r="AX140" s="309"/>
      <c r="AY140" s="309"/>
      <c r="AZ140" s="309"/>
      <c r="BA140" s="309"/>
      <c r="BB140" s="309"/>
      <c r="BC140" s="309"/>
      <c r="BD140" s="331" t="s">
        <v>1049</v>
      </c>
      <c r="BE140" s="339"/>
      <c r="BF140" s="339"/>
      <c r="BG140" s="340" t="e">
        <f t="shared" si="18"/>
        <v>#DIV/0!</v>
      </c>
      <c r="BH140" s="339"/>
      <c r="BI140" s="339"/>
      <c r="BJ140" s="340" t="e">
        <f t="shared" si="19"/>
        <v>#DIV/0!</v>
      </c>
      <c r="BK140" s="339"/>
      <c r="BL140" s="339"/>
      <c r="BM140" s="340" t="e">
        <f t="shared" si="20"/>
        <v>#DIV/0!</v>
      </c>
      <c r="BN140" s="339"/>
      <c r="BO140" s="339"/>
      <c r="BP140" s="340" t="e">
        <f t="shared" si="27"/>
        <v>#DIV/0!</v>
      </c>
      <c r="BQ140" s="339"/>
      <c r="BR140" s="339"/>
      <c r="BS140" s="340" t="e">
        <f t="shared" si="22"/>
        <v>#DIV/0!</v>
      </c>
      <c r="BT140" s="339"/>
      <c r="BU140" s="339"/>
      <c r="BV140" s="340" t="e">
        <f t="shared" si="23"/>
        <v>#DIV/0!</v>
      </c>
      <c r="BW140" s="1165"/>
      <c r="BX140" s="1166"/>
      <c r="BY140" s="342" t="str">
        <f t="shared" si="24"/>
        <v>NA</v>
      </c>
      <c r="BZ140" s="341" t="e">
        <f t="shared" si="25"/>
        <v>#DIV/0!</v>
      </c>
      <c r="CA140" s="341" t="e">
        <f t="shared" si="26"/>
        <v>#DIV/0!</v>
      </c>
      <c r="CB140" s="335"/>
      <c r="CC140" s="336"/>
      <c r="CD140" s="336"/>
      <c r="CF140" s="309"/>
      <c r="CH140" s="309"/>
    </row>
    <row r="141" spans="8:86" ht="45" customHeight="1">
      <c r="I141" s="12"/>
      <c r="R141" s="267" t="s">
        <v>212</v>
      </c>
      <c r="S141" s="22" t="s">
        <v>85</v>
      </c>
      <c r="T141" s="22" t="s">
        <v>841</v>
      </c>
      <c r="U141" s="244">
        <v>0.05</v>
      </c>
      <c r="V141" s="22" t="s">
        <v>83</v>
      </c>
      <c r="W141" s="23" t="s">
        <v>547</v>
      </c>
      <c r="X141" s="23" t="s">
        <v>548</v>
      </c>
      <c r="Y141" s="268" t="s">
        <v>549</v>
      </c>
      <c r="Z141" s="19"/>
      <c r="AA141" s="19"/>
      <c r="AB141" s="19"/>
      <c r="AC141" s="19"/>
      <c r="AD141" s="19"/>
      <c r="AE141" s="19"/>
      <c r="AF141" s="264" t="s">
        <v>1333</v>
      </c>
      <c r="AG141" s="722" t="s">
        <v>1205</v>
      </c>
      <c r="AH141" s="9" t="s">
        <v>74</v>
      </c>
      <c r="AI141" s="3">
        <v>0.72</v>
      </c>
      <c r="AJ141" s="3">
        <v>0.78</v>
      </c>
      <c r="AK141" s="3">
        <v>0.75</v>
      </c>
      <c r="AL141" s="4">
        <v>10</v>
      </c>
      <c r="AM141" s="4">
        <v>14.444444444444445</v>
      </c>
      <c r="AN141" s="9" t="s">
        <v>1188</v>
      </c>
      <c r="AO141" s="256"/>
      <c r="AP141" s="256" t="s">
        <v>1650</v>
      </c>
      <c r="AQ141" s="9"/>
      <c r="AR141" s="9"/>
      <c r="AS141" s="9"/>
      <c r="AT141" s="9"/>
      <c r="AU141" s="309"/>
      <c r="AV141" s="309"/>
      <c r="AW141" s="309"/>
      <c r="AX141" s="309"/>
      <c r="AY141" s="309"/>
      <c r="AZ141" s="309"/>
      <c r="BA141" s="309"/>
      <c r="BB141" s="309"/>
      <c r="BC141" s="309"/>
      <c r="BD141" s="331" t="s">
        <v>1050</v>
      </c>
      <c r="BE141" s="339"/>
      <c r="BF141" s="339"/>
      <c r="BG141" s="340" t="e">
        <f t="shared" si="18"/>
        <v>#DIV/0!</v>
      </c>
      <c r="BH141" s="339"/>
      <c r="BI141" s="339"/>
      <c r="BJ141" s="340" t="e">
        <f t="shared" si="19"/>
        <v>#DIV/0!</v>
      </c>
      <c r="BK141" s="339"/>
      <c r="BL141" s="339"/>
      <c r="BM141" s="340" t="e">
        <f t="shared" si="20"/>
        <v>#DIV/0!</v>
      </c>
      <c r="BN141" s="339"/>
      <c r="BO141" s="339"/>
      <c r="BP141" s="340" t="e">
        <f t="shared" si="27"/>
        <v>#DIV/0!</v>
      </c>
      <c r="BQ141" s="339"/>
      <c r="BR141" s="339"/>
      <c r="BS141" s="340" t="e">
        <f t="shared" si="22"/>
        <v>#DIV/0!</v>
      </c>
      <c r="BT141" s="339"/>
      <c r="BU141" s="339"/>
      <c r="BV141" s="340" t="e">
        <f t="shared" si="23"/>
        <v>#DIV/0!</v>
      </c>
      <c r="BW141" s="1165"/>
      <c r="BX141" s="1166"/>
      <c r="BY141" s="342" t="str">
        <f t="shared" si="24"/>
        <v>NA</v>
      </c>
      <c r="BZ141" s="341" t="e">
        <f t="shared" si="25"/>
        <v>#DIV/0!</v>
      </c>
      <c r="CA141" s="341" t="e">
        <f t="shared" si="26"/>
        <v>#DIV/0!</v>
      </c>
      <c r="CB141" s="335"/>
      <c r="CC141" s="336"/>
      <c r="CD141" s="336"/>
      <c r="CF141" s="309"/>
      <c r="CH141" s="309"/>
    </row>
    <row r="142" spans="8:86" ht="45" customHeight="1">
      <c r="I142" s="12"/>
      <c r="R142" s="267" t="s">
        <v>213</v>
      </c>
      <c r="S142" s="22" t="s">
        <v>85</v>
      </c>
      <c r="T142" s="22" t="s">
        <v>841</v>
      </c>
      <c r="U142" s="244">
        <v>0.06</v>
      </c>
      <c r="V142" s="22" t="s">
        <v>126</v>
      </c>
      <c r="W142" s="23" t="s">
        <v>550</v>
      </c>
      <c r="X142" s="24" t="s">
        <v>551</v>
      </c>
      <c r="Y142" s="268" t="s">
        <v>552</v>
      </c>
      <c r="Z142" s="19"/>
      <c r="AA142" s="19"/>
      <c r="AB142" s="19"/>
      <c r="AC142" s="19"/>
      <c r="AD142" s="19"/>
      <c r="AE142" s="19"/>
      <c r="AF142" s="264" t="s">
        <v>1334</v>
      </c>
      <c r="AG142" s="722" t="s">
        <v>1205</v>
      </c>
      <c r="AH142" s="9" t="s">
        <v>74</v>
      </c>
      <c r="AI142" s="3">
        <v>0.75</v>
      </c>
      <c r="AJ142" s="3">
        <v>0.8</v>
      </c>
      <c r="AK142" s="3">
        <v>0.77500000000000002</v>
      </c>
      <c r="AL142" s="4">
        <v>18.333333333333332</v>
      </c>
      <c r="AM142" s="4">
        <v>21.111111111111111</v>
      </c>
      <c r="AN142" s="9" t="s">
        <v>1188</v>
      </c>
      <c r="AO142" s="256"/>
      <c r="AP142" s="256" t="s">
        <v>1651</v>
      </c>
      <c r="AQ142" s="9"/>
      <c r="AR142" s="9"/>
      <c r="AS142" s="9"/>
      <c r="AT142" s="9"/>
      <c r="AU142" s="309"/>
      <c r="AV142" s="309"/>
      <c r="AW142" s="309"/>
      <c r="AX142" s="309"/>
      <c r="AY142" s="309"/>
      <c r="AZ142" s="309"/>
      <c r="BA142" s="309"/>
      <c r="BB142" s="309"/>
      <c r="BC142" s="309"/>
      <c r="BD142" s="331" t="s">
        <v>1051</v>
      </c>
      <c r="BE142" s="339"/>
      <c r="BF142" s="339"/>
      <c r="BG142" s="340" t="e">
        <f t="shared" si="18"/>
        <v>#DIV/0!</v>
      </c>
      <c r="BH142" s="339"/>
      <c r="BI142" s="339"/>
      <c r="BJ142" s="340" t="e">
        <f t="shared" si="19"/>
        <v>#DIV/0!</v>
      </c>
      <c r="BK142" s="339"/>
      <c r="BL142" s="339"/>
      <c r="BM142" s="340" t="e">
        <f t="shared" si="20"/>
        <v>#DIV/0!</v>
      </c>
      <c r="BN142" s="339"/>
      <c r="BO142" s="339"/>
      <c r="BP142" s="340" t="e">
        <f t="shared" si="27"/>
        <v>#DIV/0!</v>
      </c>
      <c r="BQ142" s="339"/>
      <c r="BR142" s="339"/>
      <c r="BS142" s="340" t="e">
        <f t="shared" si="22"/>
        <v>#DIV/0!</v>
      </c>
      <c r="BT142" s="339"/>
      <c r="BU142" s="339"/>
      <c r="BV142" s="340" t="e">
        <f t="shared" si="23"/>
        <v>#DIV/0!</v>
      </c>
      <c r="BW142" s="1165"/>
      <c r="BX142" s="1166"/>
      <c r="BY142" s="342" t="str">
        <f t="shared" si="24"/>
        <v>NA</v>
      </c>
      <c r="BZ142" s="341" t="e">
        <f t="shared" si="25"/>
        <v>#DIV/0!</v>
      </c>
      <c r="CA142" s="341" t="e">
        <f t="shared" si="26"/>
        <v>#DIV/0!</v>
      </c>
      <c r="CB142" s="335"/>
      <c r="CC142" s="336"/>
      <c r="CD142" s="336"/>
      <c r="CF142" s="309"/>
      <c r="CH142" s="309"/>
    </row>
    <row r="143" spans="8:86" ht="45" customHeight="1">
      <c r="I143" s="12"/>
      <c r="R143" s="267" t="s">
        <v>214</v>
      </c>
      <c r="S143" s="22" t="s">
        <v>87</v>
      </c>
      <c r="T143" s="22" t="s">
        <v>841</v>
      </c>
      <c r="U143" s="244">
        <v>7.0000000000000007E-2</v>
      </c>
      <c r="V143" s="22" t="s">
        <v>233</v>
      </c>
      <c r="W143" s="24"/>
      <c r="X143" s="24"/>
      <c r="Y143" s="269"/>
      <c r="Z143" s="19"/>
      <c r="AA143" s="19"/>
      <c r="AB143" s="19"/>
      <c r="AC143" s="19"/>
      <c r="AD143" s="19"/>
      <c r="AE143" s="19"/>
      <c r="AF143" s="264" t="s">
        <v>1335</v>
      </c>
      <c r="AG143" s="722" t="s">
        <v>1205</v>
      </c>
      <c r="AH143" s="9" t="s">
        <v>74</v>
      </c>
      <c r="AI143" s="3"/>
      <c r="AJ143" s="3"/>
      <c r="AK143" s="3">
        <v>0.68</v>
      </c>
      <c r="AL143" s="4">
        <v>12.777777777777779</v>
      </c>
      <c r="AM143" s="4">
        <v>14.444444444444445</v>
      </c>
      <c r="AN143" s="9" t="s">
        <v>1198</v>
      </c>
      <c r="AO143" s="256"/>
      <c r="AP143" s="256" t="s">
        <v>1652</v>
      </c>
      <c r="AQ143" s="9"/>
      <c r="AR143" s="9"/>
      <c r="AS143" s="9"/>
      <c r="AT143" s="9"/>
      <c r="AU143" s="309"/>
      <c r="AV143" s="309"/>
      <c r="AW143" s="309"/>
      <c r="AX143" s="309"/>
      <c r="AY143" s="309"/>
      <c r="AZ143" s="309"/>
      <c r="BA143" s="309"/>
      <c r="BB143" s="309"/>
      <c r="BC143" s="309"/>
      <c r="BD143" s="331" t="s">
        <v>1052</v>
      </c>
      <c r="BE143" s="339"/>
      <c r="BF143" s="339"/>
      <c r="BG143" s="340" t="e">
        <f t="shared" si="18"/>
        <v>#DIV/0!</v>
      </c>
      <c r="BH143" s="339"/>
      <c r="BI143" s="339"/>
      <c r="BJ143" s="340" t="e">
        <f t="shared" si="19"/>
        <v>#DIV/0!</v>
      </c>
      <c r="BK143" s="339"/>
      <c r="BL143" s="339"/>
      <c r="BM143" s="340" t="e">
        <f t="shared" si="20"/>
        <v>#DIV/0!</v>
      </c>
      <c r="BN143" s="339"/>
      <c r="BO143" s="339"/>
      <c r="BP143" s="340" t="e">
        <f t="shared" si="27"/>
        <v>#DIV/0!</v>
      </c>
      <c r="BQ143" s="339"/>
      <c r="BR143" s="339"/>
      <c r="BS143" s="340" t="e">
        <f t="shared" si="22"/>
        <v>#DIV/0!</v>
      </c>
      <c r="BT143" s="339"/>
      <c r="BU143" s="339"/>
      <c r="BV143" s="340" t="e">
        <f t="shared" si="23"/>
        <v>#DIV/0!</v>
      </c>
      <c r="BW143" s="1165"/>
      <c r="BX143" s="1166"/>
      <c r="BY143" s="342" t="str">
        <f t="shared" si="24"/>
        <v>NA</v>
      </c>
      <c r="BZ143" s="341" t="e">
        <f t="shared" si="25"/>
        <v>#DIV/0!</v>
      </c>
      <c r="CA143" s="341" t="e">
        <f t="shared" si="26"/>
        <v>#DIV/0!</v>
      </c>
      <c r="CB143" s="335"/>
      <c r="CC143" s="336"/>
      <c r="CD143" s="336"/>
      <c r="CF143" s="309"/>
      <c r="CH143" s="309"/>
    </row>
    <row r="144" spans="8:86" ht="45" customHeight="1">
      <c r="I144" s="12"/>
      <c r="R144" s="267" t="s">
        <v>215</v>
      </c>
      <c r="S144" s="22" t="s">
        <v>87</v>
      </c>
      <c r="T144" s="22" t="s">
        <v>841</v>
      </c>
      <c r="U144" s="244">
        <v>0.11</v>
      </c>
      <c r="V144" s="22" t="s">
        <v>83</v>
      </c>
      <c r="W144" s="23" t="s">
        <v>553</v>
      </c>
      <c r="X144" s="23" t="s">
        <v>554</v>
      </c>
      <c r="Y144" s="268" t="s">
        <v>303</v>
      </c>
      <c r="Z144" s="19"/>
      <c r="AA144" s="19"/>
      <c r="AB144" s="19"/>
      <c r="AC144" s="19"/>
      <c r="AD144" s="19"/>
      <c r="AE144" s="19"/>
      <c r="AF144" s="264" t="s">
        <v>1336</v>
      </c>
      <c r="AG144" s="722" t="s">
        <v>1205</v>
      </c>
      <c r="AH144" s="9" t="s">
        <v>74</v>
      </c>
      <c r="AI144" s="3">
        <v>0.75</v>
      </c>
      <c r="AJ144" s="3">
        <v>0.8</v>
      </c>
      <c r="AK144" s="3">
        <v>0.77500000000000002</v>
      </c>
      <c r="AL144" s="4">
        <v>10</v>
      </c>
      <c r="AM144" s="4">
        <v>12.777777777777779</v>
      </c>
      <c r="AN144" s="9" t="s">
        <v>1188</v>
      </c>
      <c r="AO144" s="256"/>
      <c r="AP144" s="256" t="s">
        <v>1653</v>
      </c>
      <c r="AQ144" s="9"/>
      <c r="AR144" s="9"/>
      <c r="AS144" s="9"/>
      <c r="AT144" s="9"/>
      <c r="AU144" s="309"/>
      <c r="AV144" s="309"/>
      <c r="AW144" s="309"/>
      <c r="AX144" s="309"/>
      <c r="AY144" s="309"/>
      <c r="AZ144" s="309"/>
      <c r="BA144" s="309"/>
      <c r="BB144" s="309"/>
      <c r="BC144" s="309"/>
      <c r="BD144" s="326" t="s">
        <v>1053</v>
      </c>
      <c r="BE144" s="339"/>
      <c r="BF144" s="339"/>
      <c r="BG144" s="340" t="e">
        <f t="shared" si="18"/>
        <v>#DIV/0!</v>
      </c>
      <c r="BH144" s="339"/>
      <c r="BI144" s="339"/>
      <c r="BJ144" s="340" t="e">
        <f t="shared" si="19"/>
        <v>#DIV/0!</v>
      </c>
      <c r="BK144" s="339"/>
      <c r="BL144" s="339"/>
      <c r="BM144" s="340" t="e">
        <f t="shared" si="20"/>
        <v>#DIV/0!</v>
      </c>
      <c r="BN144" s="339"/>
      <c r="BO144" s="339"/>
      <c r="BP144" s="340" t="e">
        <f t="shared" si="27"/>
        <v>#DIV/0!</v>
      </c>
      <c r="BQ144" s="339"/>
      <c r="BR144" s="339"/>
      <c r="BS144" s="340" t="e">
        <f t="shared" si="22"/>
        <v>#DIV/0!</v>
      </c>
      <c r="BT144" s="339"/>
      <c r="BU144" s="339"/>
      <c r="BV144" s="340" t="e">
        <f t="shared" si="23"/>
        <v>#DIV/0!</v>
      </c>
      <c r="BW144" s="1165"/>
      <c r="BX144" s="1166"/>
      <c r="BY144" s="342" t="str">
        <f t="shared" si="24"/>
        <v>NA</v>
      </c>
      <c r="BZ144" s="341" t="e">
        <f t="shared" si="25"/>
        <v>#DIV/0!</v>
      </c>
      <c r="CA144" s="341" t="e">
        <f t="shared" si="26"/>
        <v>#DIV/0!</v>
      </c>
      <c r="CB144" s="335"/>
      <c r="CC144" s="336"/>
      <c r="CD144" s="336"/>
      <c r="CF144" s="309"/>
      <c r="CH144" s="309"/>
    </row>
    <row r="145" spans="6:86" ht="45" customHeight="1">
      <c r="I145" s="12"/>
      <c r="R145" s="267" t="s">
        <v>216</v>
      </c>
      <c r="S145" s="22" t="s">
        <v>82</v>
      </c>
      <c r="T145" s="22" t="s">
        <v>841</v>
      </c>
      <c r="U145" s="244">
        <v>0.15</v>
      </c>
      <c r="V145" s="22" t="s">
        <v>99</v>
      </c>
      <c r="W145" s="23" t="s">
        <v>555</v>
      </c>
      <c r="X145" s="23" t="s">
        <v>556</v>
      </c>
      <c r="Y145" s="268" t="s">
        <v>557</v>
      </c>
      <c r="Z145" s="19"/>
      <c r="AA145" s="19"/>
      <c r="AB145" s="19"/>
      <c r="AC145" s="19"/>
      <c r="AD145" s="19"/>
      <c r="AE145" s="19"/>
      <c r="AF145" s="264" t="s">
        <v>1337</v>
      </c>
      <c r="AG145" s="722" t="s">
        <v>1213</v>
      </c>
      <c r="AH145" s="9" t="s">
        <v>74</v>
      </c>
      <c r="AI145" s="3">
        <v>0.7</v>
      </c>
      <c r="AJ145" s="3">
        <v>0.74</v>
      </c>
      <c r="AK145" s="3">
        <v>0.72</v>
      </c>
      <c r="AL145" s="4">
        <v>10</v>
      </c>
      <c r="AM145" s="4">
        <v>14.444444444444445</v>
      </c>
      <c r="AN145" s="9" t="s">
        <v>1188</v>
      </c>
      <c r="AO145" s="256"/>
      <c r="AP145" s="256" t="s">
        <v>1654</v>
      </c>
      <c r="AQ145" s="9"/>
      <c r="AR145" s="9"/>
      <c r="AS145" s="9"/>
      <c r="AT145" s="9"/>
      <c r="AU145" s="309"/>
      <c r="AV145" s="309"/>
      <c r="AW145" s="309"/>
      <c r="AX145" s="309"/>
      <c r="AY145" s="309"/>
      <c r="AZ145" s="309"/>
      <c r="BA145" s="309"/>
      <c r="BB145" s="309"/>
      <c r="BC145" s="309"/>
      <c r="BD145" s="331" t="s">
        <v>1054</v>
      </c>
      <c r="BE145" s="339"/>
      <c r="BF145" s="339"/>
      <c r="BG145" s="340" t="e">
        <f t="shared" si="18"/>
        <v>#DIV/0!</v>
      </c>
      <c r="BH145" s="339"/>
      <c r="BI145" s="339"/>
      <c r="BJ145" s="340" t="e">
        <f t="shared" si="19"/>
        <v>#DIV/0!</v>
      </c>
      <c r="BK145" s="339"/>
      <c r="BL145" s="339"/>
      <c r="BM145" s="340" t="e">
        <f t="shared" si="20"/>
        <v>#DIV/0!</v>
      </c>
      <c r="BN145" s="339"/>
      <c r="BO145" s="339"/>
      <c r="BP145" s="340" t="e">
        <f t="shared" si="27"/>
        <v>#DIV/0!</v>
      </c>
      <c r="BQ145" s="339"/>
      <c r="BR145" s="339"/>
      <c r="BS145" s="340" t="e">
        <f t="shared" si="22"/>
        <v>#DIV/0!</v>
      </c>
      <c r="BT145" s="339"/>
      <c r="BU145" s="339"/>
      <c r="BV145" s="340" t="e">
        <f t="shared" si="23"/>
        <v>#DIV/0!</v>
      </c>
      <c r="BW145" s="1165"/>
      <c r="BX145" s="1166"/>
      <c r="BY145" s="342" t="str">
        <f t="shared" si="24"/>
        <v>NA</v>
      </c>
      <c r="BZ145" s="341" t="e">
        <f t="shared" si="25"/>
        <v>#DIV/0!</v>
      </c>
      <c r="CA145" s="341" t="e">
        <f t="shared" si="26"/>
        <v>#DIV/0!</v>
      </c>
      <c r="CB145" s="335"/>
      <c r="CC145" s="336"/>
      <c r="CD145" s="336"/>
      <c r="CF145" s="309"/>
      <c r="CH145" s="309"/>
    </row>
    <row r="146" spans="6:86" ht="45" customHeight="1">
      <c r="F146"/>
      <c r="I146" s="12"/>
      <c r="R146" s="267" t="s">
        <v>217</v>
      </c>
      <c r="S146" s="22" t="s">
        <v>85</v>
      </c>
      <c r="T146" s="22" t="s">
        <v>841</v>
      </c>
      <c r="U146" s="244">
        <v>0.05</v>
      </c>
      <c r="V146" s="22" t="s">
        <v>233</v>
      </c>
      <c r="W146" s="23" t="s">
        <v>558</v>
      </c>
      <c r="X146" s="24" t="s">
        <v>244</v>
      </c>
      <c r="Y146" s="268" t="s">
        <v>559</v>
      </c>
      <c r="Z146" s="19"/>
      <c r="AA146" s="19"/>
      <c r="AB146" s="19"/>
      <c r="AC146" s="19"/>
      <c r="AD146" s="19"/>
      <c r="AE146" s="19"/>
      <c r="AF146" s="264" t="s">
        <v>1338</v>
      </c>
      <c r="AG146" s="722" t="s">
        <v>1213</v>
      </c>
      <c r="AH146" s="9" t="s">
        <v>74</v>
      </c>
      <c r="AI146" s="3">
        <v>0.73</v>
      </c>
      <c r="AJ146" s="3">
        <v>0.77</v>
      </c>
      <c r="AK146" s="3">
        <v>0.75</v>
      </c>
      <c r="AL146" s="4">
        <v>7.7777777777777777</v>
      </c>
      <c r="AM146" s="4">
        <v>13.333333333333334</v>
      </c>
      <c r="AN146" s="9" t="s">
        <v>1198</v>
      </c>
      <c r="AO146" s="256"/>
      <c r="AP146" s="256" t="s">
        <v>1655</v>
      </c>
      <c r="AQ146" s="9"/>
      <c r="AR146" s="9"/>
      <c r="AS146" s="9"/>
      <c r="AT146" s="9"/>
      <c r="AU146" s="309"/>
      <c r="AV146" s="309"/>
      <c r="AW146" s="309"/>
      <c r="AX146" s="309"/>
      <c r="AY146" s="309"/>
      <c r="AZ146" s="309"/>
      <c r="BA146" s="309"/>
      <c r="BB146" s="309"/>
      <c r="BC146" s="309"/>
      <c r="BD146" s="331" t="s">
        <v>1055</v>
      </c>
      <c r="BE146" s="339"/>
      <c r="BF146" s="339"/>
      <c r="BG146" s="340" t="e">
        <f t="shared" si="18"/>
        <v>#DIV/0!</v>
      </c>
      <c r="BH146" s="339"/>
      <c r="BI146" s="339"/>
      <c r="BJ146" s="340" t="e">
        <f t="shared" si="19"/>
        <v>#DIV/0!</v>
      </c>
      <c r="BK146" s="339"/>
      <c r="BL146" s="339"/>
      <c r="BM146" s="340" t="e">
        <f t="shared" si="20"/>
        <v>#DIV/0!</v>
      </c>
      <c r="BN146" s="339"/>
      <c r="BO146" s="339"/>
      <c r="BP146" s="340" t="e">
        <f t="shared" si="27"/>
        <v>#DIV/0!</v>
      </c>
      <c r="BQ146" s="339"/>
      <c r="BR146" s="339"/>
      <c r="BS146" s="340" t="e">
        <f t="shared" si="22"/>
        <v>#DIV/0!</v>
      </c>
      <c r="BT146" s="339"/>
      <c r="BU146" s="339"/>
      <c r="BV146" s="340" t="e">
        <f t="shared" si="23"/>
        <v>#DIV/0!</v>
      </c>
      <c r="BW146" s="1165"/>
      <c r="BX146" s="1166"/>
      <c r="BY146" s="342" t="str">
        <f t="shared" si="24"/>
        <v>NA</v>
      </c>
      <c r="BZ146" s="341" t="e">
        <f t="shared" si="25"/>
        <v>#DIV/0!</v>
      </c>
      <c r="CA146" s="341" t="e">
        <f t="shared" si="26"/>
        <v>#DIV/0!</v>
      </c>
      <c r="CB146" s="335"/>
      <c r="CC146" s="336"/>
      <c r="CD146" s="336"/>
      <c r="CF146" s="309"/>
      <c r="CH146" s="309"/>
    </row>
    <row r="147" spans="6:86" ht="45" customHeight="1">
      <c r="F147" s="734"/>
      <c r="I147" s="12"/>
      <c r="R147" s="267" t="s">
        <v>218</v>
      </c>
      <c r="S147" s="22" t="s">
        <v>87</v>
      </c>
      <c r="T147" s="22" t="s">
        <v>841</v>
      </c>
      <c r="U147" s="244">
        <v>0.16</v>
      </c>
      <c r="V147" s="22" t="s">
        <v>233</v>
      </c>
      <c r="W147" s="23" t="s">
        <v>293</v>
      </c>
      <c r="X147" s="23" t="s">
        <v>294</v>
      </c>
      <c r="Y147" s="268" t="s">
        <v>295</v>
      </c>
      <c r="Z147" s="19"/>
      <c r="AA147" s="19"/>
      <c r="AB147" s="19"/>
      <c r="AC147" s="19"/>
      <c r="AD147" s="19"/>
      <c r="AE147" s="19"/>
      <c r="AF147" s="264" t="s">
        <v>1339</v>
      </c>
      <c r="AG147" s="722" t="s">
        <v>1205</v>
      </c>
      <c r="AH147" s="9" t="s">
        <v>74</v>
      </c>
      <c r="AI147" s="3">
        <v>0</v>
      </c>
      <c r="AJ147" s="3">
        <v>0</v>
      </c>
      <c r="AK147" s="3"/>
      <c r="AL147" s="4">
        <v>-17.777777777777779</v>
      </c>
      <c r="AM147" s="4">
        <v>-17.777777777777779</v>
      </c>
      <c r="AN147" s="9"/>
      <c r="AO147" s="256"/>
      <c r="AP147" s="256" t="s">
        <v>1656</v>
      </c>
      <c r="AQ147" s="9"/>
      <c r="AR147" s="9"/>
      <c r="AS147" s="9"/>
      <c r="AT147" s="9"/>
      <c r="AU147" s="309"/>
      <c r="AV147" s="309"/>
      <c r="AW147" s="309"/>
      <c r="AX147" s="309"/>
      <c r="AY147" s="309"/>
      <c r="AZ147" s="309"/>
      <c r="BA147" s="309"/>
      <c r="BB147" s="309"/>
      <c r="BC147" s="309"/>
      <c r="BD147" s="331" t="s">
        <v>1056</v>
      </c>
      <c r="BE147" s="339"/>
      <c r="BF147" s="339"/>
      <c r="BG147" s="340" t="e">
        <f t="shared" si="18"/>
        <v>#DIV/0!</v>
      </c>
      <c r="BH147" s="339"/>
      <c r="BI147" s="339"/>
      <c r="BJ147" s="340" t="e">
        <f t="shared" si="19"/>
        <v>#DIV/0!</v>
      </c>
      <c r="BK147" s="339"/>
      <c r="BL147" s="339"/>
      <c r="BM147" s="340" t="e">
        <f t="shared" si="20"/>
        <v>#DIV/0!</v>
      </c>
      <c r="BN147" s="339"/>
      <c r="BO147" s="339"/>
      <c r="BP147" s="340" t="e">
        <f t="shared" si="27"/>
        <v>#DIV/0!</v>
      </c>
      <c r="BQ147" s="339"/>
      <c r="BR147" s="339"/>
      <c r="BS147" s="340" t="e">
        <f t="shared" si="22"/>
        <v>#DIV/0!</v>
      </c>
      <c r="BT147" s="339"/>
      <c r="BU147" s="339"/>
      <c r="BV147" s="340" t="e">
        <f t="shared" si="23"/>
        <v>#DIV/0!</v>
      </c>
      <c r="BW147" s="1165"/>
      <c r="BX147" s="1166"/>
      <c r="BY147" s="342" t="str">
        <f t="shared" si="24"/>
        <v>NA</v>
      </c>
      <c r="BZ147" s="341" t="e">
        <f t="shared" si="25"/>
        <v>#DIV/0!</v>
      </c>
      <c r="CA147" s="341" t="e">
        <f t="shared" si="26"/>
        <v>#DIV/0!</v>
      </c>
      <c r="CB147" s="335"/>
      <c r="CC147" s="336"/>
      <c r="CD147" s="336"/>
      <c r="CF147" s="309"/>
      <c r="CH147" s="309"/>
    </row>
    <row r="148" spans="6:86" ht="45" customHeight="1">
      <c r="I148" s="12"/>
      <c r="R148" s="267" t="s">
        <v>219</v>
      </c>
      <c r="S148" s="22" t="s">
        <v>85</v>
      </c>
      <c r="T148" s="22" t="s">
        <v>841</v>
      </c>
      <c r="U148" s="244">
        <v>0.06</v>
      </c>
      <c r="V148" s="22" t="s">
        <v>99</v>
      </c>
      <c r="W148" s="23" t="s">
        <v>560</v>
      </c>
      <c r="X148" s="23" t="s">
        <v>561</v>
      </c>
      <c r="Y148" s="268" t="s">
        <v>562</v>
      </c>
      <c r="Z148" s="19"/>
      <c r="AA148" s="19"/>
      <c r="AB148" s="19"/>
      <c r="AC148" s="19"/>
      <c r="AD148" s="19"/>
      <c r="AE148" s="19"/>
      <c r="AF148" s="264" t="s">
        <v>1340</v>
      </c>
      <c r="AG148" s="722" t="s">
        <v>1213</v>
      </c>
      <c r="AH148" s="9" t="s">
        <v>74</v>
      </c>
      <c r="AI148" s="3">
        <v>0.74</v>
      </c>
      <c r="AJ148" s="3">
        <v>0.76</v>
      </c>
      <c r="AK148" s="3">
        <v>0.75</v>
      </c>
      <c r="AL148" s="4">
        <v>15.555555555555555</v>
      </c>
      <c r="AM148" s="4">
        <v>21.111111111111111</v>
      </c>
      <c r="AN148" s="9" t="s">
        <v>1198</v>
      </c>
      <c r="AO148" s="256"/>
      <c r="AP148" s="256" t="s">
        <v>1657</v>
      </c>
      <c r="AQ148" s="9"/>
      <c r="AR148" s="9"/>
      <c r="AS148" s="9"/>
      <c r="AT148" s="9"/>
      <c r="AU148" s="309"/>
      <c r="AV148" s="309"/>
      <c r="AW148" s="309"/>
      <c r="AX148" s="309"/>
      <c r="AY148" s="309"/>
      <c r="AZ148" s="309"/>
      <c r="BA148" s="309"/>
      <c r="BB148" s="309"/>
      <c r="BC148" s="309"/>
      <c r="BD148" s="331" t="s">
        <v>1057</v>
      </c>
      <c r="BE148" s="339"/>
      <c r="BF148" s="339"/>
      <c r="BG148" s="340" t="e">
        <f t="shared" si="18"/>
        <v>#DIV/0!</v>
      </c>
      <c r="BH148" s="339"/>
      <c r="BI148" s="339"/>
      <c r="BJ148" s="340" t="e">
        <f t="shared" si="19"/>
        <v>#DIV/0!</v>
      </c>
      <c r="BK148" s="339"/>
      <c r="BL148" s="339"/>
      <c r="BM148" s="340" t="e">
        <f t="shared" si="20"/>
        <v>#DIV/0!</v>
      </c>
      <c r="BN148" s="339"/>
      <c r="BO148" s="339"/>
      <c r="BP148" s="340" t="e">
        <f t="shared" si="27"/>
        <v>#DIV/0!</v>
      </c>
      <c r="BQ148" s="339"/>
      <c r="BR148" s="339"/>
      <c r="BS148" s="340" t="e">
        <f t="shared" si="22"/>
        <v>#DIV/0!</v>
      </c>
      <c r="BT148" s="339"/>
      <c r="BU148" s="339"/>
      <c r="BV148" s="340" t="e">
        <f t="shared" si="23"/>
        <v>#DIV/0!</v>
      </c>
      <c r="BW148" s="1165"/>
      <c r="BX148" s="1166"/>
      <c r="BY148" s="342" t="str">
        <f t="shared" si="24"/>
        <v>NA</v>
      </c>
      <c r="BZ148" s="341" t="e">
        <f t="shared" si="25"/>
        <v>#DIV/0!</v>
      </c>
      <c r="CA148" s="341" t="e">
        <f t="shared" si="26"/>
        <v>#DIV/0!</v>
      </c>
      <c r="CB148" s="335"/>
      <c r="CC148" s="336"/>
      <c r="CD148" s="336"/>
    </row>
    <row r="149" spans="6:86" ht="45" customHeight="1">
      <c r="I149" s="12"/>
      <c r="R149" s="267" t="s">
        <v>220</v>
      </c>
      <c r="S149" s="22" t="s">
        <v>85</v>
      </c>
      <c r="T149" s="22" t="s">
        <v>841</v>
      </c>
      <c r="U149" s="244">
        <v>0.09</v>
      </c>
      <c r="V149" s="22" t="s">
        <v>233</v>
      </c>
      <c r="W149" s="23" t="s">
        <v>563</v>
      </c>
      <c r="X149" s="23" t="s">
        <v>564</v>
      </c>
      <c r="Y149" s="268" t="s">
        <v>565</v>
      </c>
      <c r="Z149" s="19"/>
      <c r="AA149" s="19"/>
      <c r="AB149" s="19"/>
      <c r="AC149" s="19"/>
      <c r="AD149" s="19"/>
      <c r="AE149" s="19"/>
      <c r="AF149" s="264" t="s">
        <v>1341</v>
      </c>
      <c r="AG149" s="722" t="s">
        <v>1203</v>
      </c>
      <c r="AH149" s="9" t="s">
        <v>72</v>
      </c>
      <c r="AI149" s="3">
        <v>0.77</v>
      </c>
      <c r="AJ149" s="3">
        <v>0.83</v>
      </c>
      <c r="AK149" s="3">
        <v>0.8</v>
      </c>
      <c r="AL149" s="4">
        <v>10</v>
      </c>
      <c r="AM149" s="4">
        <v>15</v>
      </c>
      <c r="AN149" s="9" t="s">
        <v>1186</v>
      </c>
      <c r="AO149" s="256"/>
      <c r="AP149" s="256" t="s">
        <v>1658</v>
      </c>
      <c r="AQ149" s="9"/>
      <c r="AR149" s="9"/>
      <c r="AS149" s="9"/>
      <c r="AT149" s="9"/>
      <c r="AU149" s="309"/>
      <c r="AV149" s="309"/>
      <c r="AW149" s="309"/>
      <c r="AX149" s="309"/>
      <c r="AY149" s="309"/>
      <c r="AZ149" s="309"/>
      <c r="BA149" s="309"/>
      <c r="BB149" s="309"/>
      <c r="BC149" s="309"/>
      <c r="BD149" s="326" t="s">
        <v>1058</v>
      </c>
      <c r="BE149" s="339"/>
      <c r="BF149" s="339"/>
      <c r="BG149" s="340" t="e">
        <f t="shared" si="18"/>
        <v>#DIV/0!</v>
      </c>
      <c r="BH149" s="339"/>
      <c r="BI149" s="339"/>
      <c r="BJ149" s="340" t="e">
        <f t="shared" si="19"/>
        <v>#DIV/0!</v>
      </c>
      <c r="BK149" s="339"/>
      <c r="BL149" s="339"/>
      <c r="BM149" s="340" t="e">
        <f t="shared" si="20"/>
        <v>#DIV/0!</v>
      </c>
      <c r="BN149" s="339"/>
      <c r="BO149" s="339"/>
      <c r="BP149" s="340" t="e">
        <f t="shared" si="27"/>
        <v>#DIV/0!</v>
      </c>
      <c r="BQ149" s="339"/>
      <c r="BR149" s="339"/>
      <c r="BS149" s="340" t="e">
        <f t="shared" si="22"/>
        <v>#DIV/0!</v>
      </c>
      <c r="BT149" s="339"/>
      <c r="BU149" s="339"/>
      <c r="BV149" s="340" t="e">
        <f t="shared" si="23"/>
        <v>#DIV/0!</v>
      </c>
      <c r="BW149" s="1165"/>
      <c r="BX149" s="1166"/>
      <c r="BY149" s="342" t="str">
        <f t="shared" si="24"/>
        <v>NA</v>
      </c>
      <c r="BZ149" s="341" t="e">
        <f t="shared" si="25"/>
        <v>#DIV/0!</v>
      </c>
      <c r="CA149" s="341" t="e">
        <f t="shared" si="26"/>
        <v>#DIV/0!</v>
      </c>
      <c r="CB149" s="335"/>
      <c r="CC149" s="336"/>
      <c r="CD149" s="336"/>
    </row>
    <row r="150" spans="6:86" ht="45" customHeight="1" thickBot="1">
      <c r="I150" s="12"/>
      <c r="R150" s="275" t="s">
        <v>221</v>
      </c>
      <c r="S150" s="270" t="s">
        <v>85</v>
      </c>
      <c r="T150" s="22" t="s">
        <v>841</v>
      </c>
      <c r="U150" s="271">
        <v>0.06</v>
      </c>
      <c r="V150" s="270" t="s">
        <v>233</v>
      </c>
      <c r="W150" s="272" t="s">
        <v>566</v>
      </c>
      <c r="X150" s="272" t="s">
        <v>567</v>
      </c>
      <c r="Y150" s="273" t="s">
        <v>568</v>
      </c>
      <c r="Z150" s="19"/>
      <c r="AA150" s="19"/>
      <c r="AB150" s="19"/>
      <c r="AC150" s="19"/>
      <c r="AD150" s="19"/>
      <c r="AE150" s="19"/>
      <c r="AF150" s="264" t="s">
        <v>1342</v>
      </c>
      <c r="AG150" s="722" t="s">
        <v>1208</v>
      </c>
      <c r="AH150" s="9" t="s">
        <v>74</v>
      </c>
      <c r="AI150" s="3">
        <v>0.72</v>
      </c>
      <c r="AJ150" s="3">
        <v>0.8</v>
      </c>
      <c r="AK150" s="3">
        <v>0.76</v>
      </c>
      <c r="AL150" s="4">
        <v>18.333333333333332</v>
      </c>
      <c r="AM150" s="4">
        <v>22.222222222222221</v>
      </c>
      <c r="AN150" s="9" t="s">
        <v>1190</v>
      </c>
      <c r="AO150" s="256"/>
      <c r="AP150" s="256" t="s">
        <v>1659</v>
      </c>
      <c r="AQ150" s="9"/>
      <c r="AR150" s="9"/>
      <c r="AS150" s="9"/>
      <c r="AT150" s="9"/>
      <c r="AU150" s="309"/>
      <c r="AV150" s="309"/>
      <c r="AW150" s="309"/>
      <c r="AX150" s="309"/>
      <c r="AY150" s="309"/>
      <c r="AZ150" s="309"/>
      <c r="BA150" s="309"/>
      <c r="BB150" s="309"/>
      <c r="BC150" s="309"/>
      <c r="BD150" s="331" t="s">
        <v>1059</v>
      </c>
      <c r="BE150" s="339"/>
      <c r="BF150" s="339"/>
      <c r="BG150" s="340" t="e">
        <f t="shared" si="18"/>
        <v>#DIV/0!</v>
      </c>
      <c r="BH150" s="339"/>
      <c r="BI150" s="339"/>
      <c r="BJ150" s="340" t="e">
        <f t="shared" si="19"/>
        <v>#DIV/0!</v>
      </c>
      <c r="BK150" s="339"/>
      <c r="BL150" s="339"/>
      <c r="BM150" s="340" t="e">
        <f t="shared" si="20"/>
        <v>#DIV/0!</v>
      </c>
      <c r="BN150" s="339"/>
      <c r="BO150" s="339"/>
      <c r="BP150" s="340" t="e">
        <f t="shared" si="27"/>
        <v>#DIV/0!</v>
      </c>
      <c r="BQ150" s="339"/>
      <c r="BR150" s="339"/>
      <c r="BS150" s="340" t="e">
        <f t="shared" si="22"/>
        <v>#DIV/0!</v>
      </c>
      <c r="BT150" s="339"/>
      <c r="BU150" s="339"/>
      <c r="BV150" s="340" t="e">
        <f t="shared" si="23"/>
        <v>#DIV/0!</v>
      </c>
      <c r="BW150" s="1165"/>
      <c r="BX150" s="1166"/>
      <c r="BY150" s="342" t="str">
        <f t="shared" si="24"/>
        <v>NA</v>
      </c>
      <c r="BZ150" s="341" t="e">
        <f t="shared" si="25"/>
        <v>#DIV/0!</v>
      </c>
      <c r="CA150" s="341" t="e">
        <f t="shared" si="26"/>
        <v>#DIV/0!</v>
      </c>
      <c r="CB150" s="335"/>
      <c r="CC150" s="336"/>
      <c r="CD150" s="336"/>
    </row>
    <row r="151" spans="6:86" ht="45" customHeight="1" thickBot="1">
      <c r="I151" s="12"/>
      <c r="R151" s="275" t="s">
        <v>222</v>
      </c>
      <c r="S151" s="270" t="s">
        <v>87</v>
      </c>
      <c r="T151" s="22" t="s">
        <v>841</v>
      </c>
      <c r="U151" s="271">
        <v>0.18</v>
      </c>
      <c r="V151" s="270" t="s">
        <v>121</v>
      </c>
      <c r="W151" s="272" t="s">
        <v>569</v>
      </c>
      <c r="X151" s="272" t="s">
        <v>570</v>
      </c>
      <c r="Y151" s="690" t="s">
        <v>176</v>
      </c>
      <c r="Z151" s="19"/>
      <c r="AF151" s="264" t="s">
        <v>1343</v>
      </c>
      <c r="AG151" s="722" t="s">
        <v>1205</v>
      </c>
      <c r="AH151" s="9" t="s">
        <v>74</v>
      </c>
      <c r="AI151" s="3">
        <v>0.7</v>
      </c>
      <c r="AJ151" s="3">
        <v>0.8</v>
      </c>
      <c r="AK151" s="3">
        <v>0.75</v>
      </c>
      <c r="AL151" s="4">
        <v>18.333333333333332</v>
      </c>
      <c r="AM151" s="4">
        <v>21.111111111111111</v>
      </c>
      <c r="AN151" s="9" t="s">
        <v>1186</v>
      </c>
      <c r="AO151" s="256"/>
      <c r="AP151" s="256" t="s">
        <v>1660</v>
      </c>
      <c r="AQ151" s="9"/>
      <c r="AR151" s="9"/>
      <c r="AS151" s="9"/>
      <c r="AT151" s="9"/>
      <c r="AU151" s="309"/>
      <c r="AV151" s="309"/>
      <c r="AW151" s="309"/>
      <c r="AX151" s="309"/>
      <c r="AY151" s="309"/>
      <c r="AZ151" s="309"/>
      <c r="BA151" s="309"/>
      <c r="BB151" s="309"/>
      <c r="BC151" s="309"/>
      <c r="BD151" s="331" t="s">
        <v>1060</v>
      </c>
      <c r="BE151" s="339"/>
      <c r="BF151" s="339"/>
      <c r="BG151" s="340" t="e">
        <f t="shared" si="18"/>
        <v>#DIV/0!</v>
      </c>
      <c r="BH151" s="339"/>
      <c r="BI151" s="339"/>
      <c r="BJ151" s="340" t="e">
        <f t="shared" si="19"/>
        <v>#DIV/0!</v>
      </c>
      <c r="BK151" s="339"/>
      <c r="BL151" s="339"/>
      <c r="BM151" s="340" t="e">
        <f t="shared" si="20"/>
        <v>#DIV/0!</v>
      </c>
      <c r="BN151" s="339"/>
      <c r="BO151" s="339"/>
      <c r="BP151" s="340" t="e">
        <f t="shared" si="27"/>
        <v>#DIV/0!</v>
      </c>
      <c r="BQ151" s="339"/>
      <c r="BR151" s="339"/>
      <c r="BS151" s="340" t="e">
        <f t="shared" si="22"/>
        <v>#DIV/0!</v>
      </c>
      <c r="BT151" s="339"/>
      <c r="BU151" s="339"/>
      <c r="BV151" s="340" t="e">
        <f t="shared" si="23"/>
        <v>#DIV/0!</v>
      </c>
      <c r="BW151" s="1165"/>
      <c r="BX151" s="1166"/>
      <c r="BY151" s="342" t="str">
        <f t="shared" si="24"/>
        <v>NA</v>
      </c>
      <c r="BZ151" s="341" t="e">
        <f t="shared" si="25"/>
        <v>#DIV/0!</v>
      </c>
      <c r="CA151" s="341" t="e">
        <f t="shared" si="26"/>
        <v>#DIV/0!</v>
      </c>
      <c r="CB151" s="335"/>
      <c r="CC151" s="336"/>
      <c r="CD151" s="336"/>
    </row>
    <row r="152" spans="6:86" ht="45" customHeight="1" thickBot="1">
      <c r="I152" s="12"/>
      <c r="R152" s="275" t="s">
        <v>223</v>
      </c>
      <c r="S152" s="270" t="s">
        <v>87</v>
      </c>
      <c r="T152" s="22" t="s">
        <v>841</v>
      </c>
      <c r="U152" s="271">
        <v>0.08</v>
      </c>
      <c r="V152" s="270" t="s">
        <v>121</v>
      </c>
      <c r="W152" s="272" t="s">
        <v>571</v>
      </c>
      <c r="X152" s="689" t="s">
        <v>572</v>
      </c>
      <c r="Y152" s="273" t="s">
        <v>573</v>
      </c>
      <c r="Z152" s="19"/>
      <c r="AF152" s="264" t="s">
        <v>1344</v>
      </c>
      <c r="AG152" s="722" t="s">
        <v>1205</v>
      </c>
      <c r="AH152" s="9" t="s">
        <v>74</v>
      </c>
      <c r="AI152" s="3">
        <v>0.65</v>
      </c>
      <c r="AJ152" s="3">
        <v>0.72</v>
      </c>
      <c r="AK152" s="3">
        <v>0.68500000000000005</v>
      </c>
      <c r="AL152" s="4">
        <v>18.333333333333332</v>
      </c>
      <c r="AM152" s="4">
        <v>20.555555555555557</v>
      </c>
      <c r="AN152" s="9" t="s">
        <v>1188</v>
      </c>
      <c r="AO152" s="256"/>
      <c r="AP152" s="256" t="s">
        <v>1661</v>
      </c>
      <c r="AQ152" s="9"/>
      <c r="AR152" s="9"/>
      <c r="AS152" s="9"/>
      <c r="AT152" s="9"/>
      <c r="AU152" s="309"/>
      <c r="AV152" s="309"/>
      <c r="AW152" s="309"/>
      <c r="AX152" s="309"/>
      <c r="AY152" s="309"/>
      <c r="AZ152" s="309"/>
      <c r="BA152" s="309"/>
      <c r="BB152" s="309"/>
      <c r="BC152" s="309"/>
      <c r="BD152" s="331" t="s">
        <v>1061</v>
      </c>
      <c r="BE152" s="339"/>
      <c r="BF152" s="339"/>
      <c r="BG152" s="340" t="e">
        <f t="shared" si="18"/>
        <v>#DIV/0!</v>
      </c>
      <c r="BH152" s="339"/>
      <c r="BI152" s="339"/>
      <c r="BJ152" s="340" t="e">
        <f t="shared" si="19"/>
        <v>#DIV/0!</v>
      </c>
      <c r="BK152" s="339"/>
      <c r="BL152" s="339"/>
      <c r="BM152" s="340" t="e">
        <f t="shared" si="20"/>
        <v>#DIV/0!</v>
      </c>
      <c r="BN152" s="339"/>
      <c r="BO152" s="339"/>
      <c r="BP152" s="340" t="e">
        <f t="shared" si="27"/>
        <v>#DIV/0!</v>
      </c>
      <c r="BQ152" s="339"/>
      <c r="BR152" s="339"/>
      <c r="BS152" s="340" t="e">
        <f t="shared" si="22"/>
        <v>#DIV/0!</v>
      </c>
      <c r="BT152" s="339"/>
      <c r="BU152" s="339"/>
      <c r="BV152" s="340" t="e">
        <f t="shared" si="23"/>
        <v>#DIV/0!</v>
      </c>
      <c r="BW152" s="1165"/>
      <c r="BX152" s="1166"/>
      <c r="BY152" s="342" t="str">
        <f t="shared" si="24"/>
        <v>NA</v>
      </c>
      <c r="BZ152" s="341" t="e">
        <f t="shared" si="25"/>
        <v>#DIV/0!</v>
      </c>
      <c r="CA152" s="341" t="e">
        <f t="shared" si="26"/>
        <v>#DIV/0!</v>
      </c>
      <c r="CB152" s="335"/>
      <c r="CC152" s="336"/>
      <c r="CD152" s="336"/>
    </row>
    <row r="153" spans="6:86" ht="45" customHeight="1" thickBot="1">
      <c r="I153" s="12"/>
      <c r="R153" s="275" t="s">
        <v>224</v>
      </c>
      <c r="S153" s="22" t="s">
        <v>82</v>
      </c>
      <c r="T153" s="22" t="s">
        <v>841</v>
      </c>
      <c r="U153" s="271">
        <v>0.17</v>
      </c>
      <c r="V153" s="270" t="s">
        <v>233</v>
      </c>
      <c r="W153" s="272" t="s">
        <v>574</v>
      </c>
      <c r="X153" s="272" t="s">
        <v>575</v>
      </c>
      <c r="Y153" s="268" t="s">
        <v>576</v>
      </c>
      <c r="Z153" s="19"/>
      <c r="AF153" s="264" t="s">
        <v>1345</v>
      </c>
      <c r="AG153" s="722" t="s">
        <v>1205</v>
      </c>
      <c r="AH153" s="9" t="s">
        <v>74</v>
      </c>
      <c r="AI153" s="3">
        <v>0.7</v>
      </c>
      <c r="AJ153" s="3">
        <v>0.75</v>
      </c>
      <c r="AK153" s="3">
        <v>0.72499999999999998</v>
      </c>
      <c r="AL153" s="4">
        <v>20</v>
      </c>
      <c r="AM153" s="4">
        <v>22.777777777777779</v>
      </c>
      <c r="AN153" s="9" t="s">
        <v>1190</v>
      </c>
      <c r="AO153" s="256"/>
      <c r="AP153" s="256" t="s">
        <v>1662</v>
      </c>
      <c r="AQ153" s="9"/>
      <c r="AR153" s="9"/>
      <c r="AS153" s="9"/>
      <c r="AT153" s="9"/>
      <c r="AU153" s="309"/>
      <c r="AV153" s="309"/>
      <c r="AW153" s="309"/>
      <c r="AX153" s="309"/>
      <c r="AY153" s="309"/>
      <c r="AZ153" s="309"/>
      <c r="BA153" s="309"/>
      <c r="BB153" s="309"/>
      <c r="BC153" s="309"/>
      <c r="BD153" s="331" t="s">
        <v>1062</v>
      </c>
      <c r="BE153" s="339"/>
      <c r="BF153" s="339"/>
      <c r="BG153" s="340" t="e">
        <f t="shared" si="18"/>
        <v>#DIV/0!</v>
      </c>
      <c r="BH153" s="339"/>
      <c r="BI153" s="339"/>
      <c r="BJ153" s="340" t="e">
        <f t="shared" si="19"/>
        <v>#DIV/0!</v>
      </c>
      <c r="BK153" s="339"/>
      <c r="BL153" s="339"/>
      <c r="BM153" s="340" t="e">
        <f t="shared" si="20"/>
        <v>#DIV/0!</v>
      </c>
      <c r="BN153" s="339"/>
      <c r="BO153" s="339"/>
      <c r="BP153" s="340" t="e">
        <f t="shared" si="27"/>
        <v>#DIV/0!</v>
      </c>
      <c r="BQ153" s="339"/>
      <c r="BR153" s="339"/>
      <c r="BS153" s="340" t="e">
        <f t="shared" si="22"/>
        <v>#DIV/0!</v>
      </c>
      <c r="BT153" s="339"/>
      <c r="BU153" s="339"/>
      <c r="BV153" s="340" t="e">
        <f t="shared" si="23"/>
        <v>#DIV/0!</v>
      </c>
      <c r="BW153" s="1165"/>
      <c r="BX153" s="1166"/>
      <c r="BY153" s="342" t="str">
        <f t="shared" si="24"/>
        <v>NA</v>
      </c>
      <c r="BZ153" s="341" t="e">
        <f t="shared" si="25"/>
        <v>#DIV/0!</v>
      </c>
      <c r="CA153" s="341" t="e">
        <f t="shared" si="26"/>
        <v>#DIV/0!</v>
      </c>
      <c r="CB153" s="335"/>
      <c r="CC153" s="336"/>
      <c r="CD153" s="336"/>
    </row>
    <row r="154" spans="6:86" ht="45" customHeight="1" thickBot="1">
      <c r="I154" s="12"/>
      <c r="R154" s="275" t="s">
        <v>225</v>
      </c>
      <c r="S154" s="22" t="s">
        <v>85</v>
      </c>
      <c r="T154" s="22" t="s">
        <v>841</v>
      </c>
      <c r="U154" s="244">
        <v>0.06</v>
      </c>
      <c r="V154" s="22" t="s">
        <v>233</v>
      </c>
      <c r="W154" s="272" t="s">
        <v>577</v>
      </c>
      <c r="X154" s="272" t="s">
        <v>578</v>
      </c>
      <c r="Y154" s="273" t="s">
        <v>579</v>
      </c>
      <c r="Z154" s="19"/>
      <c r="AF154" s="264" t="s">
        <v>1346</v>
      </c>
      <c r="AG154" s="722" t="s">
        <v>1205</v>
      </c>
      <c r="AH154" s="9" t="s">
        <v>74</v>
      </c>
      <c r="AI154" s="3"/>
      <c r="AJ154" s="3"/>
      <c r="AK154" s="3">
        <v>0.77500000000000002</v>
      </c>
      <c r="AL154" s="4">
        <v>18.888888888888889</v>
      </c>
      <c r="AM154" s="4">
        <v>21.111111111111111</v>
      </c>
      <c r="AN154" s="9" t="s">
        <v>1196</v>
      </c>
      <c r="AO154" s="256"/>
      <c r="AP154" s="256" t="s">
        <v>1663</v>
      </c>
      <c r="AQ154" s="9"/>
      <c r="AR154" s="9"/>
      <c r="AS154" s="9"/>
      <c r="AT154" s="9"/>
      <c r="AU154" s="309"/>
      <c r="AV154" s="309"/>
      <c r="AW154" s="309"/>
      <c r="AX154" s="309"/>
      <c r="AY154" s="309"/>
      <c r="AZ154" s="309"/>
      <c r="BA154" s="309"/>
      <c r="BB154" s="309"/>
      <c r="BC154" s="309"/>
      <c r="BD154" s="326" t="s">
        <v>1063</v>
      </c>
      <c r="BE154" s="339"/>
      <c r="BF154" s="339"/>
      <c r="BG154" s="340" t="e">
        <f t="shared" si="18"/>
        <v>#DIV/0!</v>
      </c>
      <c r="BH154" s="339"/>
      <c r="BI154" s="339"/>
      <c r="BJ154" s="340" t="e">
        <f t="shared" si="19"/>
        <v>#DIV/0!</v>
      </c>
      <c r="BK154" s="339"/>
      <c r="BL154" s="339"/>
      <c r="BM154" s="340" t="e">
        <f t="shared" si="20"/>
        <v>#DIV/0!</v>
      </c>
      <c r="BN154" s="339"/>
      <c r="BO154" s="339"/>
      <c r="BP154" s="340" t="e">
        <f t="shared" si="27"/>
        <v>#DIV/0!</v>
      </c>
      <c r="BQ154" s="339"/>
      <c r="BR154" s="339"/>
      <c r="BS154" s="340" t="e">
        <f t="shared" si="22"/>
        <v>#DIV/0!</v>
      </c>
      <c r="BT154" s="339"/>
      <c r="BU154" s="339"/>
      <c r="BV154" s="340" t="e">
        <f t="shared" si="23"/>
        <v>#DIV/0!</v>
      </c>
      <c r="BW154" s="1165"/>
      <c r="BX154" s="1166"/>
      <c r="BY154" s="342" t="str">
        <f t="shared" si="24"/>
        <v>NA</v>
      </c>
      <c r="BZ154" s="341" t="e">
        <f t="shared" si="25"/>
        <v>#DIV/0!</v>
      </c>
      <c r="CA154" s="341" t="e">
        <f t="shared" si="26"/>
        <v>#DIV/0!</v>
      </c>
      <c r="CB154" s="335"/>
      <c r="CC154" s="336"/>
      <c r="CD154" s="336"/>
    </row>
    <row r="155" spans="6:86" ht="45" customHeight="1" thickBot="1">
      <c r="R155" s="275" t="s">
        <v>226</v>
      </c>
      <c r="S155" s="22" t="s">
        <v>82</v>
      </c>
      <c r="T155" s="22" t="s">
        <v>841</v>
      </c>
      <c r="U155" s="244">
        <v>0.14000000000000001</v>
      </c>
      <c r="V155" s="22" t="s">
        <v>83</v>
      </c>
      <c r="W155" s="272" t="s">
        <v>278</v>
      </c>
      <c r="X155" s="689" t="s">
        <v>580</v>
      </c>
      <c r="Y155" s="690" t="s">
        <v>215</v>
      </c>
      <c r="Z155" s="19"/>
      <c r="AF155" s="264" t="s">
        <v>1347</v>
      </c>
      <c r="AG155" s="722" t="s">
        <v>1205</v>
      </c>
      <c r="AH155" s="9" t="s">
        <v>74</v>
      </c>
      <c r="AI155" s="3">
        <v>0.7</v>
      </c>
      <c r="AJ155" s="3">
        <v>0.75</v>
      </c>
      <c r="AK155" s="3">
        <v>0.72499999999999998</v>
      </c>
      <c r="AL155" s="4">
        <v>18.333333333333332</v>
      </c>
      <c r="AM155" s="4">
        <v>21.111111111111111</v>
      </c>
      <c r="AN155" s="9" t="s">
        <v>1188</v>
      </c>
      <c r="AO155" s="256"/>
      <c r="AP155" s="256" t="s">
        <v>1664</v>
      </c>
      <c r="AQ155" s="9"/>
      <c r="AR155" s="9"/>
      <c r="AS155" s="9"/>
      <c r="AT155" s="9"/>
      <c r="AU155" s="309"/>
      <c r="AV155" s="309"/>
      <c r="AW155" s="309"/>
      <c r="AX155" s="309"/>
      <c r="AY155" s="309"/>
      <c r="AZ155" s="309"/>
      <c r="BA155" s="309"/>
      <c r="BB155" s="309"/>
      <c r="BC155" s="309"/>
      <c r="BD155" s="331" t="s">
        <v>1064</v>
      </c>
      <c r="BE155" s="339"/>
      <c r="BF155" s="339"/>
      <c r="BG155" s="340" t="e">
        <f t="shared" si="18"/>
        <v>#DIV/0!</v>
      </c>
      <c r="BH155" s="339"/>
      <c r="BI155" s="339"/>
      <c r="BJ155" s="340" t="e">
        <f t="shared" si="19"/>
        <v>#DIV/0!</v>
      </c>
      <c r="BK155" s="339"/>
      <c r="BL155" s="339"/>
      <c r="BM155" s="340" t="e">
        <f t="shared" si="20"/>
        <v>#DIV/0!</v>
      </c>
      <c r="BN155" s="339"/>
      <c r="BO155" s="339"/>
      <c r="BP155" s="340" t="e">
        <f t="shared" si="27"/>
        <v>#DIV/0!</v>
      </c>
      <c r="BQ155" s="339"/>
      <c r="BR155" s="339"/>
      <c r="BS155" s="340" t="e">
        <f t="shared" si="22"/>
        <v>#DIV/0!</v>
      </c>
      <c r="BT155" s="339"/>
      <c r="BU155" s="339"/>
      <c r="BV155" s="340" t="e">
        <f t="shared" si="23"/>
        <v>#DIV/0!</v>
      </c>
      <c r="BW155" s="1165"/>
      <c r="BX155" s="1166"/>
      <c r="BY155" s="342" t="str">
        <f t="shared" si="24"/>
        <v>NA</v>
      </c>
      <c r="BZ155" s="341" t="e">
        <f t="shared" si="25"/>
        <v>#DIV/0!</v>
      </c>
      <c r="CA155" s="341" t="e">
        <f t="shared" si="26"/>
        <v>#DIV/0!</v>
      </c>
      <c r="CB155" s="335"/>
      <c r="CC155" s="336"/>
      <c r="CD155" s="336"/>
    </row>
    <row r="156" spans="6:86" ht="45" customHeight="1" thickBot="1">
      <c r="R156" s="275" t="s">
        <v>227</v>
      </c>
      <c r="S156" s="22" t="s">
        <v>87</v>
      </c>
      <c r="T156" s="22" t="s">
        <v>841</v>
      </c>
      <c r="U156" s="244">
        <v>0.1</v>
      </c>
      <c r="V156" s="22" t="s">
        <v>83</v>
      </c>
      <c r="W156" s="272" t="s">
        <v>581</v>
      </c>
      <c r="X156" s="272" t="s">
        <v>582</v>
      </c>
      <c r="Y156" s="273" t="s">
        <v>583</v>
      </c>
      <c r="Z156" s="19"/>
      <c r="AF156" s="264" t="s">
        <v>1348</v>
      </c>
      <c r="AG156" s="722" t="s">
        <v>1205</v>
      </c>
      <c r="AH156" s="9" t="s">
        <v>74</v>
      </c>
      <c r="AI156" s="3">
        <v>0.69</v>
      </c>
      <c r="AJ156" s="3">
        <v>0.76</v>
      </c>
      <c r="AK156" s="3">
        <v>0.72499999999999998</v>
      </c>
      <c r="AL156" s="4">
        <v>20</v>
      </c>
      <c r="AM156" s="4">
        <v>22.222222222222221</v>
      </c>
      <c r="AN156" s="9" t="s">
        <v>1196</v>
      </c>
      <c r="AO156" s="256"/>
      <c r="AP156" s="256" t="s">
        <v>1665</v>
      </c>
      <c r="AQ156" s="9"/>
      <c r="AR156" s="9"/>
      <c r="AS156" s="9"/>
      <c r="AT156" s="9"/>
      <c r="AU156" s="309"/>
      <c r="AV156" s="309"/>
      <c r="AW156" s="309"/>
      <c r="AX156" s="309"/>
      <c r="AY156" s="309"/>
      <c r="AZ156" s="309"/>
      <c r="BA156" s="309"/>
      <c r="BB156" s="309"/>
      <c r="BC156" s="309"/>
      <c r="BD156" s="331" t="s">
        <v>1065</v>
      </c>
      <c r="BE156" s="339"/>
      <c r="BF156" s="339"/>
      <c r="BG156" s="340" t="e">
        <f t="shared" si="18"/>
        <v>#DIV/0!</v>
      </c>
      <c r="BH156" s="339"/>
      <c r="BI156" s="339"/>
      <c r="BJ156" s="340" t="e">
        <f t="shared" si="19"/>
        <v>#DIV/0!</v>
      </c>
      <c r="BK156" s="339"/>
      <c r="BL156" s="339"/>
      <c r="BM156" s="340" t="e">
        <f t="shared" si="20"/>
        <v>#DIV/0!</v>
      </c>
      <c r="BN156" s="339"/>
      <c r="BO156" s="339"/>
      <c r="BP156" s="340" t="e">
        <f t="shared" si="27"/>
        <v>#DIV/0!</v>
      </c>
      <c r="BQ156" s="339"/>
      <c r="BR156" s="339"/>
      <c r="BS156" s="340" t="e">
        <f t="shared" si="22"/>
        <v>#DIV/0!</v>
      </c>
      <c r="BT156" s="339"/>
      <c r="BU156" s="339"/>
      <c r="BV156" s="340" t="e">
        <f t="shared" si="23"/>
        <v>#DIV/0!</v>
      </c>
      <c r="BW156" s="1165"/>
      <c r="BX156" s="1166"/>
      <c r="BY156" s="342" t="str">
        <f t="shared" si="24"/>
        <v>NA</v>
      </c>
      <c r="BZ156" s="341" t="e">
        <f t="shared" si="25"/>
        <v>#DIV/0!</v>
      </c>
      <c r="CA156" s="341" t="e">
        <f t="shared" si="26"/>
        <v>#DIV/0!</v>
      </c>
      <c r="CB156" s="335"/>
      <c r="CC156" s="336"/>
      <c r="CD156" s="336"/>
    </row>
    <row r="157" spans="6:86" ht="45" customHeight="1" thickBot="1">
      <c r="R157" s="275" t="s">
        <v>228</v>
      </c>
      <c r="S157" s="22" t="s">
        <v>87</v>
      </c>
      <c r="T157" s="22" t="s">
        <v>841</v>
      </c>
      <c r="U157" s="244">
        <v>0.16</v>
      </c>
      <c r="V157" s="22" t="s">
        <v>233</v>
      </c>
      <c r="W157" s="272" t="s">
        <v>293</v>
      </c>
      <c r="X157" s="272" t="s">
        <v>584</v>
      </c>
      <c r="Y157" s="273" t="s">
        <v>295</v>
      </c>
      <c r="AF157" s="264" t="s">
        <v>1349</v>
      </c>
      <c r="AG157" s="722" t="s">
        <v>1210</v>
      </c>
      <c r="AH157" s="9" t="s">
        <v>74</v>
      </c>
      <c r="AI157" s="3"/>
      <c r="AJ157" s="3"/>
      <c r="AK157" s="3"/>
      <c r="AL157" s="4">
        <v>15</v>
      </c>
      <c r="AM157" s="4">
        <v>20</v>
      </c>
      <c r="AN157" s="9" t="s">
        <v>1188</v>
      </c>
      <c r="AO157" s="256"/>
      <c r="AP157" s="256" t="s">
        <v>1666</v>
      </c>
      <c r="AQ157" s="9"/>
      <c r="AR157" s="9"/>
      <c r="AS157" s="9"/>
      <c r="AT157" s="9"/>
      <c r="AU157" s="309"/>
      <c r="AV157" s="309"/>
      <c r="AW157" s="309"/>
      <c r="AX157" s="309"/>
      <c r="AY157" s="309"/>
      <c r="AZ157" s="309"/>
      <c r="BA157" s="309"/>
      <c r="BB157" s="309"/>
      <c r="BC157" s="309"/>
      <c r="BD157" s="326" t="s">
        <v>1066</v>
      </c>
      <c r="BE157" s="339"/>
      <c r="BF157" s="339"/>
      <c r="BG157" s="340" t="e">
        <f t="shared" si="18"/>
        <v>#DIV/0!</v>
      </c>
      <c r="BH157" s="339"/>
      <c r="BI157" s="339"/>
      <c r="BJ157" s="340" t="e">
        <f t="shared" si="19"/>
        <v>#DIV/0!</v>
      </c>
      <c r="BK157" s="339"/>
      <c r="BL157" s="339"/>
      <c r="BM157" s="340" t="e">
        <f t="shared" si="20"/>
        <v>#DIV/0!</v>
      </c>
      <c r="BN157" s="339"/>
      <c r="BO157" s="339"/>
      <c r="BP157" s="340" t="e">
        <f t="shared" si="27"/>
        <v>#DIV/0!</v>
      </c>
      <c r="BQ157" s="339"/>
      <c r="BR157" s="339"/>
      <c r="BS157" s="340" t="e">
        <f t="shared" si="22"/>
        <v>#DIV/0!</v>
      </c>
      <c r="BT157" s="339"/>
      <c r="BU157" s="339"/>
      <c r="BV157" s="340" t="e">
        <f t="shared" si="23"/>
        <v>#DIV/0!</v>
      </c>
      <c r="BW157" s="1165"/>
      <c r="BX157" s="1166"/>
      <c r="BY157" s="342" t="str">
        <f t="shared" si="24"/>
        <v>NA</v>
      </c>
      <c r="BZ157" s="341" t="e">
        <f t="shared" si="25"/>
        <v>#DIV/0!</v>
      </c>
      <c r="CA157" s="341" t="e">
        <f t="shared" si="26"/>
        <v>#DIV/0!</v>
      </c>
      <c r="CB157" s="335"/>
      <c r="CC157" s="336"/>
      <c r="CD157" s="336"/>
    </row>
    <row r="158" spans="6:86" ht="45" customHeight="1" thickBot="1">
      <c r="R158" s="275" t="s">
        <v>229</v>
      </c>
      <c r="S158" s="22" t="s">
        <v>87</v>
      </c>
      <c r="T158" s="22" t="s">
        <v>841</v>
      </c>
      <c r="U158" s="244">
        <v>0.11</v>
      </c>
      <c r="V158" s="22" t="s">
        <v>233</v>
      </c>
      <c r="W158" s="272" t="s">
        <v>585</v>
      </c>
      <c r="X158" s="272" t="s">
        <v>586</v>
      </c>
      <c r="Y158" s="273" t="s">
        <v>235</v>
      </c>
      <c r="AF158" s="264" t="s">
        <v>1350</v>
      </c>
      <c r="AG158" s="722" t="s">
        <v>1205</v>
      </c>
      <c r="AH158" s="9" t="s">
        <v>74</v>
      </c>
      <c r="AI158" s="3">
        <v>0.63</v>
      </c>
      <c r="AJ158" s="3">
        <v>0.7</v>
      </c>
      <c r="AK158" s="3">
        <v>0.66500000000000004</v>
      </c>
      <c r="AL158" s="4">
        <v>18.333333333333332</v>
      </c>
      <c r="AM158" s="4">
        <v>20</v>
      </c>
      <c r="AN158" s="9" t="s">
        <v>1192</v>
      </c>
      <c r="AO158" s="256"/>
      <c r="AP158" s="256" t="s">
        <v>1667</v>
      </c>
      <c r="AQ158" s="9"/>
      <c r="AR158" s="9"/>
      <c r="AS158" s="9"/>
      <c r="AT158" s="9"/>
      <c r="AU158" s="309"/>
      <c r="AV158" s="309"/>
      <c r="AW158" s="309"/>
      <c r="AX158" s="309"/>
      <c r="AY158" s="309"/>
      <c r="AZ158" s="309"/>
      <c r="BA158" s="309"/>
      <c r="BB158" s="309"/>
      <c r="BC158" s="309"/>
      <c r="BD158" s="331" t="s">
        <v>1067</v>
      </c>
      <c r="BE158" s="339"/>
      <c r="BF158" s="339"/>
      <c r="BG158" s="340" t="e">
        <f t="shared" si="18"/>
        <v>#DIV/0!</v>
      </c>
      <c r="BH158" s="339"/>
      <c r="BI158" s="339"/>
      <c r="BJ158" s="340" t="e">
        <f t="shared" si="19"/>
        <v>#DIV/0!</v>
      </c>
      <c r="BK158" s="339"/>
      <c r="BL158" s="339"/>
      <c r="BM158" s="340" t="e">
        <f t="shared" si="20"/>
        <v>#DIV/0!</v>
      </c>
      <c r="BN158" s="339"/>
      <c r="BO158" s="339"/>
      <c r="BP158" s="340" t="e">
        <f t="shared" si="27"/>
        <v>#DIV/0!</v>
      </c>
      <c r="BQ158" s="339"/>
      <c r="BR158" s="339"/>
      <c r="BS158" s="340" t="e">
        <f t="shared" si="22"/>
        <v>#DIV/0!</v>
      </c>
      <c r="BT158" s="339"/>
      <c r="BU158" s="339"/>
      <c r="BV158" s="340" t="e">
        <f t="shared" si="23"/>
        <v>#DIV/0!</v>
      </c>
      <c r="BW158" s="1165"/>
      <c r="BX158" s="1166"/>
      <c r="BY158" s="342" t="str">
        <f t="shared" si="24"/>
        <v>NA</v>
      </c>
      <c r="BZ158" s="341" t="e">
        <f t="shared" si="25"/>
        <v>#DIV/0!</v>
      </c>
      <c r="CA158" s="341" t="e">
        <f t="shared" si="26"/>
        <v>#DIV/0!</v>
      </c>
      <c r="CB158" s="335"/>
      <c r="CC158" s="336"/>
      <c r="CD158" s="336"/>
    </row>
    <row r="159" spans="6:86" ht="45" customHeight="1">
      <c r="AF159" s="264" t="s">
        <v>2566</v>
      </c>
      <c r="AG159" s="722"/>
      <c r="AH159" s="9" t="s">
        <v>74</v>
      </c>
      <c r="AI159" s="3">
        <v>0.63</v>
      </c>
      <c r="AJ159" s="3">
        <v>0.7</v>
      </c>
      <c r="AK159" s="3">
        <f>IFERROR(AVERAGE(AI159,AJ159),"")</f>
        <v>0.66500000000000004</v>
      </c>
      <c r="AL159" s="4">
        <v>18.3</v>
      </c>
      <c r="AM159" s="4">
        <v>20</v>
      </c>
      <c r="AN159" s="9" t="s">
        <v>76</v>
      </c>
      <c r="AO159" s="256"/>
      <c r="AP159" s="256"/>
      <c r="AQ159" s="9"/>
      <c r="AR159" s="263"/>
      <c r="AS159" s="9"/>
      <c r="AT159" s="9"/>
      <c r="AU159" s="309"/>
      <c r="AV159" s="309"/>
      <c r="AW159" s="309"/>
      <c r="AX159" s="309"/>
      <c r="AY159" s="309"/>
      <c r="AZ159" s="309"/>
      <c r="BA159" s="309"/>
      <c r="BB159" s="309"/>
      <c r="BC159" s="309"/>
      <c r="BD159" s="331" t="s">
        <v>1068</v>
      </c>
      <c r="BE159" s="339"/>
      <c r="BF159" s="339"/>
      <c r="BG159" s="340" t="e">
        <f t="shared" si="18"/>
        <v>#DIV/0!</v>
      </c>
      <c r="BH159" s="339"/>
      <c r="BI159" s="339"/>
      <c r="BJ159" s="340" t="e">
        <f t="shared" si="19"/>
        <v>#DIV/0!</v>
      </c>
      <c r="BK159" s="339"/>
      <c r="BL159" s="339"/>
      <c r="BM159" s="340" t="e">
        <f t="shared" si="20"/>
        <v>#DIV/0!</v>
      </c>
      <c r="BN159" s="339"/>
      <c r="BO159" s="339"/>
      <c r="BP159" s="340" t="e">
        <f t="shared" si="27"/>
        <v>#DIV/0!</v>
      </c>
      <c r="BQ159" s="339"/>
      <c r="BR159" s="339"/>
      <c r="BS159" s="340" t="e">
        <f t="shared" si="22"/>
        <v>#DIV/0!</v>
      </c>
      <c r="BT159" s="339"/>
      <c r="BU159" s="339"/>
      <c r="BV159" s="340" t="e">
        <f t="shared" si="23"/>
        <v>#DIV/0!</v>
      </c>
      <c r="BW159" s="1165"/>
      <c r="BX159" s="1166"/>
      <c r="BY159" s="342" t="str">
        <f t="shared" si="24"/>
        <v>NA</v>
      </c>
      <c r="BZ159" s="341" t="e">
        <f t="shared" si="25"/>
        <v>#DIV/0!</v>
      </c>
      <c r="CA159" s="341" t="e">
        <f t="shared" si="26"/>
        <v>#DIV/0!</v>
      </c>
      <c r="CB159" s="335"/>
      <c r="CC159" s="336"/>
      <c r="CD159" s="336"/>
    </row>
    <row r="160" spans="6:86" ht="45" customHeight="1">
      <c r="AF160" s="264" t="s">
        <v>1351</v>
      </c>
      <c r="AG160" s="722" t="s">
        <v>1213</v>
      </c>
      <c r="AH160" s="9" t="s">
        <v>74</v>
      </c>
      <c r="AI160" s="3">
        <v>0.68</v>
      </c>
      <c r="AJ160" s="3">
        <v>0.72</v>
      </c>
      <c r="AK160" s="3">
        <v>0.7</v>
      </c>
      <c r="AL160" s="4">
        <v>17.777777777777779</v>
      </c>
      <c r="AM160" s="4">
        <v>22.222222222222221</v>
      </c>
      <c r="AN160" s="9" t="s">
        <v>1186</v>
      </c>
      <c r="AO160" s="256"/>
      <c r="AP160" s="256" t="s">
        <v>1668</v>
      </c>
      <c r="AQ160" s="9"/>
      <c r="AR160" s="9"/>
      <c r="AS160" s="9"/>
      <c r="AT160" s="9"/>
      <c r="AU160" s="309"/>
      <c r="AV160" s="309"/>
      <c r="AW160" s="309"/>
      <c r="AX160" s="309"/>
      <c r="AY160" s="309"/>
      <c r="AZ160" s="309"/>
      <c r="BA160" s="309"/>
      <c r="BB160" s="309"/>
      <c r="BC160" s="309"/>
      <c r="BD160" s="326" t="s">
        <v>1069</v>
      </c>
      <c r="BE160" s="339"/>
      <c r="BF160" s="339"/>
      <c r="BG160" s="340" t="e">
        <f t="shared" si="18"/>
        <v>#DIV/0!</v>
      </c>
      <c r="BH160" s="339"/>
      <c r="BI160" s="339"/>
      <c r="BJ160" s="340" t="e">
        <f t="shared" si="19"/>
        <v>#DIV/0!</v>
      </c>
      <c r="BK160" s="339"/>
      <c r="BL160" s="339"/>
      <c r="BM160" s="340" t="e">
        <f t="shared" si="20"/>
        <v>#DIV/0!</v>
      </c>
      <c r="BN160" s="339"/>
      <c r="BO160" s="339"/>
      <c r="BP160" s="340" t="e">
        <f t="shared" si="27"/>
        <v>#DIV/0!</v>
      </c>
      <c r="BQ160" s="339"/>
      <c r="BR160" s="339"/>
      <c r="BS160" s="340" t="e">
        <f t="shared" si="22"/>
        <v>#DIV/0!</v>
      </c>
      <c r="BT160" s="339"/>
      <c r="BU160" s="339"/>
      <c r="BV160" s="340" t="e">
        <f t="shared" si="23"/>
        <v>#DIV/0!</v>
      </c>
      <c r="BW160" s="1165"/>
      <c r="BX160" s="1166"/>
      <c r="BY160" s="342" t="str">
        <f t="shared" si="24"/>
        <v>NA</v>
      </c>
      <c r="BZ160" s="341" t="e">
        <f t="shared" si="25"/>
        <v>#DIV/0!</v>
      </c>
      <c r="CA160" s="341" t="e">
        <f t="shared" si="26"/>
        <v>#DIV/0!</v>
      </c>
      <c r="CB160" s="335"/>
      <c r="CC160" s="336"/>
      <c r="CD160" s="336"/>
    </row>
    <row r="161" spans="32:82" ht="45" customHeight="1">
      <c r="AF161" s="264" t="s">
        <v>1352</v>
      </c>
      <c r="AG161" s="722" t="s">
        <v>1205</v>
      </c>
      <c r="AH161" s="9" t="s">
        <v>74</v>
      </c>
      <c r="AI161" s="3">
        <v>0.71</v>
      </c>
      <c r="AJ161" s="3">
        <v>0.75</v>
      </c>
      <c r="AK161" s="3">
        <v>0.73499999999999999</v>
      </c>
      <c r="AL161" s="4">
        <v>18.888888888888889</v>
      </c>
      <c r="AM161" s="4">
        <v>21.111111111111111</v>
      </c>
      <c r="AN161" s="9" t="s">
        <v>1196</v>
      </c>
      <c r="AO161" s="256"/>
      <c r="AP161" s="256" t="s">
        <v>1669</v>
      </c>
      <c r="AQ161" s="9"/>
      <c r="AR161" s="9"/>
      <c r="AS161" s="9"/>
      <c r="AT161" s="9"/>
      <c r="AU161" s="309"/>
      <c r="AV161" s="309"/>
      <c r="AW161" s="309"/>
      <c r="AX161" s="309"/>
      <c r="AY161" s="309"/>
      <c r="AZ161" s="309"/>
      <c r="BA161" s="309"/>
      <c r="BB161" s="309"/>
      <c r="BC161" s="309"/>
      <c r="BD161" s="331" t="s">
        <v>1070</v>
      </c>
      <c r="BE161" s="339"/>
      <c r="BF161" s="339"/>
      <c r="BG161" s="340" t="e">
        <f t="shared" si="18"/>
        <v>#DIV/0!</v>
      </c>
      <c r="BH161" s="339"/>
      <c r="BI161" s="339"/>
      <c r="BJ161" s="340" t="e">
        <f t="shared" si="19"/>
        <v>#DIV/0!</v>
      </c>
      <c r="BK161" s="339"/>
      <c r="BL161" s="339"/>
      <c r="BM161" s="340" t="e">
        <f t="shared" si="20"/>
        <v>#DIV/0!</v>
      </c>
      <c r="BN161" s="339"/>
      <c r="BO161" s="339"/>
      <c r="BP161" s="340" t="e">
        <f t="shared" si="27"/>
        <v>#DIV/0!</v>
      </c>
      <c r="BQ161" s="339"/>
      <c r="BR161" s="339"/>
      <c r="BS161" s="340" t="e">
        <f t="shared" si="22"/>
        <v>#DIV/0!</v>
      </c>
      <c r="BT161" s="339"/>
      <c r="BU161" s="339"/>
      <c r="BV161" s="340" t="e">
        <f t="shared" si="23"/>
        <v>#DIV/0!</v>
      </c>
      <c r="BW161" s="1165"/>
      <c r="BX161" s="1166"/>
      <c r="BY161" s="342" t="str">
        <f t="shared" si="24"/>
        <v>NA</v>
      </c>
      <c r="BZ161" s="341" t="e">
        <f t="shared" si="25"/>
        <v>#DIV/0!</v>
      </c>
      <c r="CA161" s="341" t="e">
        <f t="shared" si="26"/>
        <v>#DIV/0!</v>
      </c>
      <c r="CB161" s="335"/>
      <c r="CC161" s="336"/>
      <c r="CD161" s="336"/>
    </row>
    <row r="162" spans="32:82" ht="45" customHeight="1">
      <c r="AF162" s="264" t="s">
        <v>1353</v>
      </c>
      <c r="AG162" s="722" t="s">
        <v>1205</v>
      </c>
      <c r="AH162" s="9" t="s">
        <v>74</v>
      </c>
      <c r="AI162" s="3">
        <v>0.65</v>
      </c>
      <c r="AJ162" s="3">
        <v>0.7</v>
      </c>
      <c r="AK162" s="3">
        <v>0.67500000000000004</v>
      </c>
      <c r="AL162" s="4">
        <v>18.333333333333332</v>
      </c>
      <c r="AM162" s="4">
        <v>21.111111111111111</v>
      </c>
      <c r="AN162" s="9" t="s">
        <v>1188</v>
      </c>
      <c r="AO162" s="256"/>
      <c r="AP162" s="256" t="s">
        <v>1670</v>
      </c>
      <c r="AQ162" s="9"/>
      <c r="AR162" s="9"/>
      <c r="AS162" s="9"/>
      <c r="AT162" s="9"/>
      <c r="AU162" s="309"/>
      <c r="AV162" s="309"/>
      <c r="AW162" s="309"/>
      <c r="AX162" s="309"/>
      <c r="AY162" s="309"/>
      <c r="AZ162" s="309"/>
      <c r="BA162" s="309"/>
      <c r="BB162" s="309"/>
      <c r="BC162" s="309"/>
      <c r="BD162" s="331" t="s">
        <v>1071</v>
      </c>
      <c r="BE162" s="339"/>
      <c r="BF162" s="339"/>
      <c r="BG162" s="340" t="e">
        <f t="shared" si="18"/>
        <v>#DIV/0!</v>
      </c>
      <c r="BH162" s="339"/>
      <c r="BI162" s="339"/>
      <c r="BJ162" s="340" t="e">
        <f t="shared" si="19"/>
        <v>#DIV/0!</v>
      </c>
      <c r="BK162" s="339"/>
      <c r="BL162" s="339"/>
      <c r="BM162" s="340" t="e">
        <f t="shared" si="20"/>
        <v>#DIV/0!</v>
      </c>
      <c r="BN162" s="339"/>
      <c r="BO162" s="339"/>
      <c r="BP162" s="340" t="e">
        <f t="shared" si="27"/>
        <v>#DIV/0!</v>
      </c>
      <c r="BQ162" s="339"/>
      <c r="BR162" s="339"/>
      <c r="BS162" s="340" t="e">
        <f t="shared" si="22"/>
        <v>#DIV/0!</v>
      </c>
      <c r="BT162" s="339"/>
      <c r="BU162" s="339"/>
      <c r="BV162" s="340" t="e">
        <f t="shared" si="23"/>
        <v>#DIV/0!</v>
      </c>
      <c r="BW162" s="1165"/>
      <c r="BX162" s="1166"/>
      <c r="BY162" s="342" t="str">
        <f t="shared" si="24"/>
        <v>NA</v>
      </c>
      <c r="BZ162" s="341" t="e">
        <f t="shared" si="25"/>
        <v>#DIV/0!</v>
      </c>
      <c r="CA162" s="341" t="e">
        <f t="shared" si="26"/>
        <v>#DIV/0!</v>
      </c>
      <c r="CB162" s="335"/>
      <c r="CC162" s="336"/>
      <c r="CD162" s="336"/>
    </row>
    <row r="163" spans="32:82" ht="45" customHeight="1">
      <c r="AF163" s="264" t="s">
        <v>1354</v>
      </c>
      <c r="AG163" s="722" t="s">
        <v>1213</v>
      </c>
      <c r="AH163" s="9" t="s">
        <v>74</v>
      </c>
      <c r="AI163" s="3">
        <v>0.73</v>
      </c>
      <c r="AJ163" s="3">
        <v>0.77</v>
      </c>
      <c r="AK163" s="3">
        <v>0.75</v>
      </c>
      <c r="AL163" s="4">
        <v>7.7777777777777777</v>
      </c>
      <c r="AM163" s="4">
        <v>13.333333333333334</v>
      </c>
      <c r="AN163" s="9" t="s">
        <v>1198</v>
      </c>
      <c r="AO163" s="256"/>
      <c r="AP163" s="256" t="s">
        <v>1671</v>
      </c>
      <c r="AQ163" s="9"/>
      <c r="AR163" s="9"/>
      <c r="AS163" s="9"/>
      <c r="AT163" s="9"/>
      <c r="AU163" s="309"/>
      <c r="AV163" s="309"/>
      <c r="AW163" s="309"/>
      <c r="AX163" s="309"/>
      <c r="AY163" s="309"/>
      <c r="AZ163" s="309"/>
      <c r="BA163" s="309"/>
      <c r="BB163" s="309"/>
      <c r="BC163" s="309"/>
      <c r="BD163" s="326" t="s">
        <v>1072</v>
      </c>
      <c r="BE163" s="339"/>
      <c r="BF163" s="339"/>
      <c r="BG163" s="340" t="e">
        <f t="shared" si="18"/>
        <v>#DIV/0!</v>
      </c>
      <c r="BH163" s="339"/>
      <c r="BI163" s="339"/>
      <c r="BJ163" s="340" t="e">
        <f t="shared" si="19"/>
        <v>#DIV/0!</v>
      </c>
      <c r="BK163" s="339"/>
      <c r="BL163" s="339"/>
      <c r="BM163" s="340" t="e">
        <f t="shared" si="20"/>
        <v>#DIV/0!</v>
      </c>
      <c r="BN163" s="339"/>
      <c r="BO163" s="339"/>
      <c r="BP163" s="340" t="e">
        <f t="shared" si="27"/>
        <v>#DIV/0!</v>
      </c>
      <c r="BQ163" s="339"/>
      <c r="BR163" s="339"/>
      <c r="BS163" s="340" t="e">
        <f t="shared" si="22"/>
        <v>#DIV/0!</v>
      </c>
      <c r="BT163" s="339"/>
      <c r="BU163" s="339"/>
      <c r="BV163" s="340" t="e">
        <f t="shared" si="23"/>
        <v>#DIV/0!</v>
      </c>
      <c r="BW163" s="1165"/>
      <c r="BX163" s="1166"/>
      <c r="BY163" s="342" t="str">
        <f t="shared" si="24"/>
        <v>NA</v>
      </c>
      <c r="BZ163" s="341" t="e">
        <f t="shared" si="25"/>
        <v>#DIV/0!</v>
      </c>
      <c r="CA163" s="341" t="e">
        <f t="shared" si="26"/>
        <v>#DIV/0!</v>
      </c>
      <c r="CB163" s="335"/>
      <c r="CC163" s="336"/>
      <c r="CD163" s="336"/>
    </row>
    <row r="164" spans="32:82" ht="45" customHeight="1">
      <c r="AF164" s="264" t="s">
        <v>1355</v>
      </c>
      <c r="AG164" s="722" t="s">
        <v>1185</v>
      </c>
      <c r="AH164" s="9" t="s">
        <v>74</v>
      </c>
      <c r="AI164" s="3"/>
      <c r="AJ164" s="3"/>
      <c r="AK164" s="3">
        <v>0.8</v>
      </c>
      <c r="AL164" s="4">
        <v>20</v>
      </c>
      <c r="AM164" s="4">
        <v>24.444444444444443</v>
      </c>
      <c r="AN164" s="9" t="s">
        <v>1198</v>
      </c>
      <c r="AO164" s="256"/>
      <c r="AP164" s="256" t="s">
        <v>1672</v>
      </c>
      <c r="AQ164" s="9"/>
      <c r="AR164" s="9"/>
      <c r="AS164" s="9"/>
      <c r="AT164" s="9"/>
      <c r="AU164" s="309"/>
      <c r="AV164" s="309"/>
      <c r="AW164" s="309"/>
      <c r="AX164" s="309"/>
      <c r="AY164" s="309"/>
      <c r="AZ164" s="309"/>
      <c r="BA164" s="309"/>
      <c r="BB164" s="309"/>
      <c r="BC164" s="309"/>
      <c r="BD164" s="331" t="s">
        <v>1073</v>
      </c>
      <c r="BE164" s="339"/>
      <c r="BF164" s="339"/>
      <c r="BG164" s="340" t="e">
        <f t="shared" si="18"/>
        <v>#DIV/0!</v>
      </c>
      <c r="BH164" s="339"/>
      <c r="BI164" s="339"/>
      <c r="BJ164" s="340" t="e">
        <f t="shared" si="19"/>
        <v>#DIV/0!</v>
      </c>
      <c r="BK164" s="339"/>
      <c r="BL164" s="339"/>
      <c r="BM164" s="340" t="e">
        <f t="shared" si="20"/>
        <v>#DIV/0!</v>
      </c>
      <c r="BN164" s="339"/>
      <c r="BO164" s="339"/>
      <c r="BP164" s="340" t="e">
        <f t="shared" si="27"/>
        <v>#DIV/0!</v>
      </c>
      <c r="BQ164" s="339"/>
      <c r="BR164" s="339"/>
      <c r="BS164" s="340" t="e">
        <f t="shared" si="22"/>
        <v>#DIV/0!</v>
      </c>
      <c r="BT164" s="339"/>
      <c r="BU164" s="339"/>
      <c r="BV164" s="340" t="e">
        <f t="shared" si="23"/>
        <v>#DIV/0!</v>
      </c>
      <c r="BW164" s="1165"/>
      <c r="BX164" s="1166"/>
      <c r="BY164" s="342" t="str">
        <f t="shared" si="24"/>
        <v>NA</v>
      </c>
      <c r="BZ164" s="341" t="e">
        <f t="shared" si="25"/>
        <v>#DIV/0!</v>
      </c>
      <c r="CA164" s="341" t="e">
        <f t="shared" si="26"/>
        <v>#DIV/0!</v>
      </c>
      <c r="CB164" s="335"/>
      <c r="CC164" s="336"/>
      <c r="CD164" s="336"/>
    </row>
    <row r="165" spans="32:82" ht="45" customHeight="1">
      <c r="AF165" s="264" t="s">
        <v>1356</v>
      </c>
      <c r="AG165" s="722" t="s">
        <v>1213</v>
      </c>
      <c r="AH165" s="9" t="s">
        <v>74</v>
      </c>
      <c r="AI165" s="3">
        <v>0.74</v>
      </c>
      <c r="AJ165" s="3">
        <v>0.79</v>
      </c>
      <c r="AK165" s="3">
        <v>0.76500000000000001</v>
      </c>
      <c r="AL165" s="4">
        <v>21.111111111111111</v>
      </c>
      <c r="AM165" s="4">
        <v>28.888888888888889</v>
      </c>
      <c r="AN165" s="9" t="s">
        <v>1188</v>
      </c>
      <c r="AO165" s="256"/>
      <c r="AP165" s="256" t="s">
        <v>1673</v>
      </c>
      <c r="AQ165" s="9"/>
      <c r="AR165" s="9"/>
      <c r="AS165" s="9"/>
      <c r="AT165" s="9"/>
      <c r="AU165" s="309"/>
      <c r="AV165" s="309"/>
      <c r="AW165" s="309"/>
      <c r="AX165" s="309"/>
      <c r="AY165" s="309"/>
      <c r="AZ165" s="309"/>
      <c r="BA165" s="309"/>
      <c r="BB165" s="309"/>
      <c r="BC165" s="309"/>
      <c r="BD165" s="331" t="s">
        <v>1074</v>
      </c>
      <c r="BE165" s="339"/>
      <c r="BF165" s="339"/>
      <c r="BG165" s="340" t="e">
        <f t="shared" si="18"/>
        <v>#DIV/0!</v>
      </c>
      <c r="BH165" s="339"/>
      <c r="BI165" s="339"/>
      <c r="BJ165" s="340" t="e">
        <f t="shared" si="19"/>
        <v>#DIV/0!</v>
      </c>
      <c r="BK165" s="339"/>
      <c r="BL165" s="339"/>
      <c r="BM165" s="340" t="e">
        <f t="shared" si="20"/>
        <v>#DIV/0!</v>
      </c>
      <c r="BN165" s="339"/>
      <c r="BO165" s="339"/>
      <c r="BP165" s="340" t="e">
        <f t="shared" si="27"/>
        <v>#DIV/0!</v>
      </c>
      <c r="BQ165" s="339"/>
      <c r="BR165" s="339"/>
      <c r="BS165" s="340" t="e">
        <f t="shared" si="22"/>
        <v>#DIV/0!</v>
      </c>
      <c r="BT165" s="339"/>
      <c r="BU165" s="339"/>
      <c r="BV165" s="340" t="e">
        <f t="shared" si="23"/>
        <v>#DIV/0!</v>
      </c>
      <c r="BW165" s="1165"/>
      <c r="BX165" s="1166"/>
      <c r="BY165" s="342" t="str">
        <f t="shared" si="24"/>
        <v>NA</v>
      </c>
      <c r="BZ165" s="341" t="e">
        <f t="shared" si="25"/>
        <v>#DIV/0!</v>
      </c>
      <c r="CA165" s="341" t="e">
        <f t="shared" si="26"/>
        <v>#DIV/0!</v>
      </c>
      <c r="CB165" s="335"/>
      <c r="CC165" s="336"/>
      <c r="CD165" s="336"/>
    </row>
    <row r="166" spans="32:82" ht="45" customHeight="1">
      <c r="AF166" s="264" t="s">
        <v>1357</v>
      </c>
      <c r="AG166" s="722" t="s">
        <v>1236</v>
      </c>
      <c r="AH166" s="9" t="s">
        <v>74</v>
      </c>
      <c r="AI166" s="3"/>
      <c r="AJ166" s="3"/>
      <c r="AK166" s="3"/>
      <c r="AL166" s="4" t="e">
        <v>#VALUE!</v>
      </c>
      <c r="AM166" s="4">
        <v>-17.777777777777779</v>
      </c>
      <c r="AN166" s="9"/>
      <c r="AO166" s="256"/>
      <c r="AP166" s="256" t="s">
        <v>1674</v>
      </c>
      <c r="AQ166" s="9"/>
      <c r="AR166" s="9"/>
      <c r="AS166" s="9"/>
      <c r="AT166" s="9"/>
      <c r="AU166" s="309"/>
      <c r="AV166" s="309"/>
      <c r="AW166" s="309"/>
      <c r="AX166" s="309"/>
      <c r="AY166" s="309"/>
      <c r="AZ166" s="309"/>
      <c r="BA166" s="309"/>
      <c r="BB166" s="309"/>
      <c r="BC166" s="309"/>
      <c r="BD166" s="331" t="s">
        <v>1075</v>
      </c>
      <c r="BE166" s="339"/>
      <c r="BF166" s="339"/>
      <c r="BG166" s="340" t="e">
        <f t="shared" si="18"/>
        <v>#DIV/0!</v>
      </c>
      <c r="BH166" s="339"/>
      <c r="BI166" s="339"/>
      <c r="BJ166" s="340" t="e">
        <f t="shared" si="19"/>
        <v>#DIV/0!</v>
      </c>
      <c r="BK166" s="339"/>
      <c r="BL166" s="339"/>
      <c r="BM166" s="340" t="e">
        <f t="shared" si="20"/>
        <v>#DIV/0!</v>
      </c>
      <c r="BN166" s="339"/>
      <c r="BO166" s="339"/>
      <c r="BP166" s="340" t="e">
        <f t="shared" si="27"/>
        <v>#DIV/0!</v>
      </c>
      <c r="BQ166" s="339"/>
      <c r="BR166" s="339"/>
      <c r="BS166" s="340" t="e">
        <f t="shared" si="22"/>
        <v>#DIV/0!</v>
      </c>
      <c r="BT166" s="339"/>
      <c r="BU166" s="339"/>
      <c r="BV166" s="340" t="e">
        <f t="shared" si="23"/>
        <v>#DIV/0!</v>
      </c>
      <c r="BW166" s="1165"/>
      <c r="BX166" s="1166"/>
      <c r="BY166" s="342" t="str">
        <f t="shared" si="24"/>
        <v>NA</v>
      </c>
      <c r="BZ166" s="341" t="e">
        <f t="shared" si="25"/>
        <v>#DIV/0!</v>
      </c>
      <c r="CA166" s="341" t="e">
        <f t="shared" si="26"/>
        <v>#DIV/0!</v>
      </c>
      <c r="CB166" s="335"/>
      <c r="CC166" s="336"/>
      <c r="CD166" s="336"/>
    </row>
    <row r="167" spans="32:82" ht="45" customHeight="1">
      <c r="AF167" s="264" t="s">
        <v>1358</v>
      </c>
      <c r="AG167" s="722" t="s">
        <v>1205</v>
      </c>
      <c r="AH167" s="9" t="s">
        <v>74</v>
      </c>
      <c r="AI167" s="3">
        <v>0.75</v>
      </c>
      <c r="AJ167" s="3">
        <v>0.78</v>
      </c>
      <c r="AK167" s="3">
        <v>0.76500000000000001</v>
      </c>
      <c r="AL167" s="4">
        <v>-17.777777777777779</v>
      </c>
      <c r="AM167" s="4">
        <v>-17.777777777777779</v>
      </c>
      <c r="AN167" s="9"/>
      <c r="AO167" s="256"/>
      <c r="AP167" s="256" t="s">
        <v>1675</v>
      </c>
      <c r="AQ167" s="9"/>
      <c r="AR167" s="9"/>
      <c r="AS167" s="9"/>
      <c r="AT167" s="9"/>
      <c r="AU167" s="309"/>
      <c r="AV167" s="309"/>
      <c r="AW167" s="309"/>
      <c r="AX167" s="309"/>
      <c r="AY167" s="309"/>
      <c r="AZ167" s="309"/>
      <c r="BA167" s="309"/>
      <c r="BB167" s="309"/>
      <c r="BC167" s="309"/>
      <c r="BD167" s="331" t="s">
        <v>1060</v>
      </c>
      <c r="BE167" s="339"/>
      <c r="BF167" s="339"/>
      <c r="BG167" s="340" t="e">
        <f t="shared" ref="BG167:BG182" si="28">AVERAGE(BE167:BF167)</f>
        <v>#DIV/0!</v>
      </c>
      <c r="BH167" s="339"/>
      <c r="BI167" s="339"/>
      <c r="BJ167" s="340" t="e">
        <f t="shared" ref="BJ167:BJ182" si="29">AVERAGE(BH167:BI167)</f>
        <v>#DIV/0!</v>
      </c>
      <c r="BK167" s="339"/>
      <c r="BL167" s="339"/>
      <c r="BM167" s="340" t="e">
        <f t="shared" ref="BM167:BM182" si="30">AVERAGE(BK167:BL167)</f>
        <v>#DIV/0!</v>
      </c>
      <c r="BN167" s="339"/>
      <c r="BO167" s="339"/>
      <c r="BP167" s="340" t="e">
        <f t="shared" ref="BP167:BP182" si="31">AVERAGE(BN167:BO167)</f>
        <v>#DIV/0!</v>
      </c>
      <c r="BQ167" s="339"/>
      <c r="BR167" s="339"/>
      <c r="BS167" s="340" t="e">
        <f t="shared" ref="BS167:BS182" si="32">AVERAGE(BQ167:BR167)</f>
        <v>#DIV/0!</v>
      </c>
      <c r="BT167" s="339"/>
      <c r="BU167" s="339"/>
      <c r="BV167" s="340" t="e">
        <f t="shared" ref="BV167:BV182" si="33">AVERAGE(BT167:BU167)</f>
        <v>#DIV/0!</v>
      </c>
      <c r="BW167" s="1165"/>
      <c r="BX167" s="1166"/>
      <c r="BY167" s="342" t="str">
        <f t="shared" si="24"/>
        <v>NA</v>
      </c>
      <c r="BZ167" s="341" t="e">
        <f t="shared" si="25"/>
        <v>#DIV/0!</v>
      </c>
      <c r="CA167" s="341" t="e">
        <f t="shared" si="26"/>
        <v>#DIV/0!</v>
      </c>
      <c r="CB167" s="335"/>
      <c r="CC167" s="336"/>
      <c r="CD167" s="336"/>
    </row>
    <row r="168" spans="32:82" ht="45" customHeight="1">
      <c r="AF168" s="264" t="s">
        <v>1359</v>
      </c>
      <c r="AG168" s="722" t="s">
        <v>1213</v>
      </c>
      <c r="AH168" s="9" t="s">
        <v>74</v>
      </c>
      <c r="AI168" s="3">
        <v>0.74</v>
      </c>
      <c r="AJ168" s="3">
        <v>0.78</v>
      </c>
      <c r="AK168" s="3">
        <v>0.76</v>
      </c>
      <c r="AL168" s="4">
        <v>17.777777777777779</v>
      </c>
      <c r="AM168" s="4">
        <v>26.666666666666668</v>
      </c>
      <c r="AN168" s="9" t="s">
        <v>1190</v>
      </c>
      <c r="AO168" s="256"/>
      <c r="AP168" s="256" t="s">
        <v>1676</v>
      </c>
      <c r="AQ168" s="9"/>
      <c r="AR168" s="9"/>
      <c r="AS168" s="9"/>
      <c r="AT168" s="9"/>
      <c r="AU168" s="309"/>
      <c r="AV168" s="309"/>
      <c r="AW168" s="309"/>
      <c r="AX168" s="309"/>
      <c r="AY168" s="309"/>
      <c r="AZ168" s="309"/>
      <c r="BA168" s="309"/>
      <c r="BB168" s="309"/>
      <c r="BC168" s="309"/>
      <c r="BD168" s="331" t="s">
        <v>1061</v>
      </c>
      <c r="BE168" s="339"/>
      <c r="BF168" s="339"/>
      <c r="BG168" s="340" t="e">
        <f t="shared" si="28"/>
        <v>#DIV/0!</v>
      </c>
      <c r="BH168" s="339"/>
      <c r="BI168" s="339"/>
      <c r="BJ168" s="340" t="e">
        <f t="shared" si="29"/>
        <v>#DIV/0!</v>
      </c>
      <c r="BK168" s="339"/>
      <c r="BL168" s="339"/>
      <c r="BM168" s="340" t="e">
        <f t="shared" si="30"/>
        <v>#DIV/0!</v>
      </c>
      <c r="BN168" s="339"/>
      <c r="BO168" s="339"/>
      <c r="BP168" s="340" t="e">
        <f t="shared" si="31"/>
        <v>#DIV/0!</v>
      </c>
      <c r="BQ168" s="339"/>
      <c r="BR168" s="339"/>
      <c r="BS168" s="340" t="e">
        <f t="shared" si="32"/>
        <v>#DIV/0!</v>
      </c>
      <c r="BT168" s="339"/>
      <c r="BU168" s="339"/>
      <c r="BV168" s="340" t="e">
        <f t="shared" si="33"/>
        <v>#DIV/0!</v>
      </c>
      <c r="BW168" s="1165"/>
      <c r="BX168" s="1166"/>
      <c r="BY168" s="342" t="str">
        <f t="shared" si="24"/>
        <v>NA</v>
      </c>
      <c r="BZ168" s="341" t="e">
        <f t="shared" si="25"/>
        <v>#DIV/0!</v>
      </c>
      <c r="CA168" s="341" t="e">
        <f t="shared" si="26"/>
        <v>#DIV/0!</v>
      </c>
      <c r="CB168" s="335"/>
      <c r="CC168" s="336"/>
      <c r="CD168" s="336"/>
    </row>
    <row r="169" spans="32:82" ht="45" customHeight="1">
      <c r="AF169" s="264" t="s">
        <v>1360</v>
      </c>
      <c r="AG169" s="722" t="s">
        <v>1205</v>
      </c>
      <c r="AH169" s="9" t="s">
        <v>74</v>
      </c>
      <c r="AI169" s="3"/>
      <c r="AJ169" s="3"/>
      <c r="AK169" s="3"/>
      <c r="AL169" s="4">
        <v>20</v>
      </c>
      <c r="AM169" s="4">
        <v>26.666666666666668</v>
      </c>
      <c r="AN169" s="9" t="s">
        <v>1190</v>
      </c>
      <c r="AO169" s="256"/>
      <c r="AP169" s="256" t="s">
        <v>1677</v>
      </c>
      <c r="AQ169" s="9"/>
      <c r="AR169" s="9"/>
      <c r="AS169" s="9"/>
      <c r="AT169" s="9"/>
      <c r="AU169" s="309"/>
      <c r="AV169" s="309"/>
      <c r="AW169" s="309"/>
      <c r="AX169" s="309"/>
      <c r="AY169" s="309"/>
      <c r="AZ169" s="309"/>
      <c r="BA169" s="309"/>
      <c r="BB169" s="309"/>
      <c r="BC169" s="309"/>
      <c r="BD169" s="331" t="s">
        <v>1062</v>
      </c>
      <c r="BE169" s="339"/>
      <c r="BF169" s="339"/>
      <c r="BG169" s="340" t="e">
        <f t="shared" si="28"/>
        <v>#DIV/0!</v>
      </c>
      <c r="BH169" s="339"/>
      <c r="BI169" s="339"/>
      <c r="BJ169" s="340" t="e">
        <f t="shared" si="29"/>
        <v>#DIV/0!</v>
      </c>
      <c r="BK169" s="339"/>
      <c r="BL169" s="339"/>
      <c r="BM169" s="340" t="e">
        <f t="shared" si="30"/>
        <v>#DIV/0!</v>
      </c>
      <c r="BN169" s="339"/>
      <c r="BO169" s="339"/>
      <c r="BP169" s="340" t="e">
        <f t="shared" si="31"/>
        <v>#DIV/0!</v>
      </c>
      <c r="BQ169" s="339"/>
      <c r="BR169" s="339"/>
      <c r="BS169" s="340" t="e">
        <f t="shared" si="32"/>
        <v>#DIV/0!</v>
      </c>
      <c r="BT169" s="339"/>
      <c r="BU169" s="339"/>
      <c r="BV169" s="340" t="e">
        <f t="shared" si="33"/>
        <v>#DIV/0!</v>
      </c>
      <c r="BW169" s="1165"/>
      <c r="BX169" s="1166"/>
      <c r="BY169" s="342" t="str">
        <f t="shared" si="24"/>
        <v>NA</v>
      </c>
      <c r="BZ169" s="341" t="e">
        <f t="shared" si="25"/>
        <v>#DIV/0!</v>
      </c>
      <c r="CA169" s="341" t="e">
        <f t="shared" si="26"/>
        <v>#DIV/0!</v>
      </c>
      <c r="CB169" s="335"/>
      <c r="CC169" s="336"/>
      <c r="CD169" s="336"/>
    </row>
    <row r="170" spans="32:82" ht="45" customHeight="1">
      <c r="AF170" s="264" t="s">
        <v>1361</v>
      </c>
      <c r="AG170" s="722" t="s">
        <v>1236</v>
      </c>
      <c r="AH170" s="9" t="s">
        <v>74</v>
      </c>
      <c r="AI170" s="3"/>
      <c r="AJ170" s="3"/>
      <c r="AK170" s="3"/>
      <c r="AL170" s="4">
        <v>15.555555555555555</v>
      </c>
      <c r="AM170" s="4">
        <v>23.333333333333332</v>
      </c>
      <c r="AN170" s="9"/>
      <c r="AO170" s="256"/>
      <c r="AP170" s="256" t="s">
        <v>1678</v>
      </c>
      <c r="AQ170" s="9"/>
      <c r="AR170" s="9"/>
      <c r="AS170" s="9"/>
      <c r="AT170" s="9"/>
      <c r="AU170" s="309"/>
      <c r="AV170" s="309"/>
      <c r="AW170" s="309"/>
      <c r="AX170" s="309"/>
      <c r="AY170" s="309"/>
      <c r="AZ170" s="309"/>
      <c r="BA170" s="309"/>
      <c r="BB170" s="309"/>
      <c r="BC170" s="309"/>
      <c r="BD170" s="326" t="s">
        <v>1063</v>
      </c>
      <c r="BE170" s="339"/>
      <c r="BF170" s="339"/>
      <c r="BG170" s="340" t="e">
        <f t="shared" si="28"/>
        <v>#DIV/0!</v>
      </c>
      <c r="BH170" s="339"/>
      <c r="BI170" s="339"/>
      <c r="BJ170" s="340" t="e">
        <f t="shared" si="29"/>
        <v>#DIV/0!</v>
      </c>
      <c r="BK170" s="339"/>
      <c r="BL170" s="339"/>
      <c r="BM170" s="340" t="e">
        <f t="shared" si="30"/>
        <v>#DIV/0!</v>
      </c>
      <c r="BN170" s="339"/>
      <c r="BO170" s="339"/>
      <c r="BP170" s="340" t="e">
        <f t="shared" si="31"/>
        <v>#DIV/0!</v>
      </c>
      <c r="BQ170" s="339"/>
      <c r="BR170" s="339"/>
      <c r="BS170" s="340" t="e">
        <f t="shared" si="32"/>
        <v>#DIV/0!</v>
      </c>
      <c r="BT170" s="339"/>
      <c r="BU170" s="339"/>
      <c r="BV170" s="340" t="e">
        <f t="shared" si="33"/>
        <v>#DIV/0!</v>
      </c>
      <c r="BW170" s="1165"/>
      <c r="BX170" s="1166"/>
      <c r="BY170" s="342" t="str">
        <f t="shared" si="24"/>
        <v>NA</v>
      </c>
      <c r="BZ170" s="341" t="e">
        <f t="shared" si="25"/>
        <v>#DIV/0!</v>
      </c>
      <c r="CA170" s="341" t="e">
        <f t="shared" si="26"/>
        <v>#DIV/0!</v>
      </c>
      <c r="CB170" s="335"/>
      <c r="CC170" s="336"/>
      <c r="CD170" s="336"/>
    </row>
    <row r="171" spans="32:82" ht="45" customHeight="1">
      <c r="AF171" s="264" t="s">
        <v>1362</v>
      </c>
      <c r="AG171" s="722" t="s">
        <v>1205</v>
      </c>
      <c r="AH171" s="9" t="s">
        <v>74</v>
      </c>
      <c r="AI171" s="3">
        <v>0.8</v>
      </c>
      <c r="AJ171" s="3">
        <v>1</v>
      </c>
      <c r="AK171" s="3">
        <v>0.9</v>
      </c>
      <c r="AL171" s="4">
        <v>21.111111111111111</v>
      </c>
      <c r="AM171" s="4">
        <v>37.777777777777779</v>
      </c>
      <c r="AN171" s="9"/>
      <c r="AO171" s="256"/>
      <c r="AP171" s="256" t="s">
        <v>1679</v>
      </c>
      <c r="AQ171" s="9"/>
      <c r="AR171" s="9"/>
      <c r="AS171" s="9"/>
      <c r="AT171" s="9"/>
      <c r="AU171" s="309"/>
      <c r="AV171" s="309"/>
      <c r="AW171" s="309"/>
      <c r="AX171" s="309"/>
      <c r="AY171" s="309"/>
      <c r="AZ171" s="309"/>
      <c r="BA171" s="309"/>
      <c r="BB171" s="309"/>
      <c r="BC171" s="309"/>
      <c r="BD171" s="331" t="s">
        <v>1064</v>
      </c>
      <c r="BE171" s="339"/>
      <c r="BF171" s="339"/>
      <c r="BG171" s="340" t="e">
        <f t="shared" si="28"/>
        <v>#DIV/0!</v>
      </c>
      <c r="BH171" s="339"/>
      <c r="BI171" s="339"/>
      <c r="BJ171" s="340" t="e">
        <f t="shared" si="29"/>
        <v>#DIV/0!</v>
      </c>
      <c r="BK171" s="339"/>
      <c r="BL171" s="339"/>
      <c r="BM171" s="340" t="e">
        <f t="shared" si="30"/>
        <v>#DIV/0!</v>
      </c>
      <c r="BN171" s="339"/>
      <c r="BO171" s="339"/>
      <c r="BP171" s="340" t="e">
        <f t="shared" si="31"/>
        <v>#DIV/0!</v>
      </c>
      <c r="BQ171" s="339"/>
      <c r="BR171" s="339"/>
      <c r="BS171" s="340" t="e">
        <f t="shared" si="32"/>
        <v>#DIV/0!</v>
      </c>
      <c r="BT171" s="339"/>
      <c r="BU171" s="339"/>
      <c r="BV171" s="340" t="e">
        <f t="shared" si="33"/>
        <v>#DIV/0!</v>
      </c>
      <c r="BW171" s="1165"/>
      <c r="BX171" s="1166"/>
      <c r="BY171" s="342" t="str">
        <f t="shared" si="24"/>
        <v>NA</v>
      </c>
      <c r="BZ171" s="341" t="e">
        <f t="shared" si="25"/>
        <v>#DIV/0!</v>
      </c>
      <c r="CA171" s="341" t="e">
        <f t="shared" si="26"/>
        <v>#DIV/0!</v>
      </c>
      <c r="CB171" s="335"/>
      <c r="CC171" s="336"/>
      <c r="CD171" s="336"/>
    </row>
    <row r="172" spans="32:82" ht="45" customHeight="1">
      <c r="AF172" s="264" t="s">
        <v>1363</v>
      </c>
      <c r="AG172" s="722" t="s">
        <v>1213</v>
      </c>
      <c r="AH172" s="9" t="s">
        <v>74</v>
      </c>
      <c r="AI172" s="3">
        <v>0.73</v>
      </c>
      <c r="AJ172" s="3">
        <v>0.77</v>
      </c>
      <c r="AK172" s="3">
        <v>0.75</v>
      </c>
      <c r="AL172" s="4">
        <v>17.222222222222221</v>
      </c>
      <c r="AM172" s="4">
        <v>24.444444444444443</v>
      </c>
      <c r="AN172" s="9" t="s">
        <v>1198</v>
      </c>
      <c r="AO172" s="256"/>
      <c r="AP172" s="256" t="s">
        <v>1680</v>
      </c>
      <c r="AQ172" s="9"/>
      <c r="AR172" s="9"/>
      <c r="AS172" s="9"/>
      <c r="AT172" s="9"/>
      <c r="AU172" s="309"/>
      <c r="AV172" s="309"/>
      <c r="AW172" s="309"/>
      <c r="AX172" s="309"/>
      <c r="AY172" s="309"/>
      <c r="AZ172" s="309"/>
      <c r="BA172" s="309"/>
      <c r="BB172" s="309"/>
      <c r="BC172" s="309"/>
      <c r="BD172" s="331" t="s">
        <v>1065</v>
      </c>
      <c r="BE172" s="339"/>
      <c r="BF172" s="339"/>
      <c r="BG172" s="340" t="e">
        <f t="shared" si="28"/>
        <v>#DIV/0!</v>
      </c>
      <c r="BH172" s="339"/>
      <c r="BI172" s="339"/>
      <c r="BJ172" s="340" t="e">
        <f t="shared" si="29"/>
        <v>#DIV/0!</v>
      </c>
      <c r="BK172" s="339"/>
      <c r="BL172" s="339"/>
      <c r="BM172" s="340" t="e">
        <f t="shared" si="30"/>
        <v>#DIV/0!</v>
      </c>
      <c r="BN172" s="339"/>
      <c r="BO172" s="339"/>
      <c r="BP172" s="340" t="e">
        <f t="shared" si="31"/>
        <v>#DIV/0!</v>
      </c>
      <c r="BQ172" s="339"/>
      <c r="BR172" s="339"/>
      <c r="BS172" s="340" t="e">
        <f t="shared" si="32"/>
        <v>#DIV/0!</v>
      </c>
      <c r="BT172" s="339"/>
      <c r="BU172" s="339"/>
      <c r="BV172" s="340" t="e">
        <f t="shared" si="33"/>
        <v>#DIV/0!</v>
      </c>
      <c r="BW172" s="1165"/>
      <c r="BX172" s="1166"/>
      <c r="BY172" s="342" t="str">
        <f t="shared" ref="BY172:BY182" si="34">IFERROR(BH172/BE172,"NA")</f>
        <v>NA</v>
      </c>
      <c r="BZ172" s="341" t="e">
        <f t="shared" ref="BZ172:BZ182" si="35">BV172/1.22</f>
        <v>#DIV/0!</v>
      </c>
      <c r="CA172" s="341" t="e">
        <f t="shared" ref="CA172:CA182" si="36">BZ172-(BK172/1.4+BN172/1.7)</f>
        <v>#DIV/0!</v>
      </c>
      <c r="CB172" s="335"/>
      <c r="CC172" s="336"/>
      <c r="CD172" s="336"/>
    </row>
    <row r="173" spans="32:82" ht="45" customHeight="1">
      <c r="AF173" s="264" t="s">
        <v>1364</v>
      </c>
      <c r="AG173" s="722" t="s">
        <v>1205</v>
      </c>
      <c r="AH173" s="9" t="s">
        <v>74</v>
      </c>
      <c r="AI173" s="3"/>
      <c r="AJ173" s="3"/>
      <c r="AK173" s="3"/>
      <c r="AL173" s="4">
        <v>17.222222222222221</v>
      </c>
      <c r="AM173" s="4">
        <v>22.777777777777779</v>
      </c>
      <c r="AN173" s="9" t="s">
        <v>1196</v>
      </c>
      <c r="AO173" s="256"/>
      <c r="AP173" s="256" t="s">
        <v>1681</v>
      </c>
      <c r="AQ173" s="9"/>
      <c r="AR173" s="9"/>
      <c r="AS173" s="9"/>
      <c r="AT173" s="9"/>
      <c r="AU173" s="309"/>
      <c r="AV173" s="309"/>
      <c r="AW173" s="309"/>
      <c r="AX173" s="309"/>
      <c r="AY173" s="309"/>
      <c r="AZ173" s="309"/>
      <c r="BA173" s="309"/>
      <c r="BB173" s="309"/>
      <c r="BC173" s="309"/>
      <c r="BD173" s="326" t="s">
        <v>1066</v>
      </c>
      <c r="BE173" s="339"/>
      <c r="BF173" s="339"/>
      <c r="BG173" s="340" t="e">
        <f t="shared" si="28"/>
        <v>#DIV/0!</v>
      </c>
      <c r="BH173" s="339"/>
      <c r="BI173" s="339"/>
      <c r="BJ173" s="340" t="e">
        <f t="shared" si="29"/>
        <v>#DIV/0!</v>
      </c>
      <c r="BK173" s="339"/>
      <c r="BL173" s="339"/>
      <c r="BM173" s="340" t="e">
        <f t="shared" si="30"/>
        <v>#DIV/0!</v>
      </c>
      <c r="BN173" s="339"/>
      <c r="BO173" s="339"/>
      <c r="BP173" s="340" t="e">
        <f t="shared" si="31"/>
        <v>#DIV/0!</v>
      </c>
      <c r="BQ173" s="339"/>
      <c r="BR173" s="339"/>
      <c r="BS173" s="340" t="e">
        <f t="shared" si="32"/>
        <v>#DIV/0!</v>
      </c>
      <c r="BT173" s="339"/>
      <c r="BU173" s="339"/>
      <c r="BV173" s="340" t="e">
        <f t="shared" si="33"/>
        <v>#DIV/0!</v>
      </c>
      <c r="BW173" s="1165"/>
      <c r="BX173" s="1166"/>
      <c r="BY173" s="342" t="str">
        <f t="shared" si="34"/>
        <v>NA</v>
      </c>
      <c r="BZ173" s="341" t="e">
        <f t="shared" si="35"/>
        <v>#DIV/0!</v>
      </c>
      <c r="CA173" s="341" t="e">
        <f t="shared" si="36"/>
        <v>#DIV/0!</v>
      </c>
      <c r="CB173" s="335"/>
      <c r="CC173" s="336"/>
      <c r="CD173" s="336"/>
    </row>
    <row r="174" spans="32:82" ht="45" customHeight="1">
      <c r="AF174" s="264" t="s">
        <v>1365</v>
      </c>
      <c r="AG174" s="722" t="s">
        <v>1213</v>
      </c>
      <c r="AH174" s="9" t="s">
        <v>74</v>
      </c>
      <c r="AI174" s="3">
        <v>0.77</v>
      </c>
      <c r="AJ174" s="3">
        <v>0.83</v>
      </c>
      <c r="AK174" s="3">
        <v>0.8</v>
      </c>
      <c r="AL174" s="4">
        <v>18.333333333333332</v>
      </c>
      <c r="AM174" s="4">
        <v>25</v>
      </c>
      <c r="AN174" s="9" t="s">
        <v>1198</v>
      </c>
      <c r="AO174" s="256"/>
      <c r="AP174" s="256" t="s">
        <v>1682</v>
      </c>
      <c r="AQ174" s="9"/>
      <c r="AR174" s="9"/>
      <c r="AS174" s="9"/>
      <c r="AT174" s="9"/>
      <c r="AU174" s="309"/>
      <c r="AV174" s="309"/>
      <c r="AW174" s="309"/>
      <c r="AX174" s="309"/>
      <c r="AY174" s="309"/>
      <c r="AZ174" s="309"/>
      <c r="BA174" s="309"/>
      <c r="BB174" s="309"/>
      <c r="BC174" s="309"/>
      <c r="BD174" s="331" t="s">
        <v>1067</v>
      </c>
      <c r="BE174" s="339"/>
      <c r="BF174" s="339"/>
      <c r="BG174" s="340" t="e">
        <f t="shared" si="28"/>
        <v>#DIV/0!</v>
      </c>
      <c r="BH174" s="339"/>
      <c r="BI174" s="339"/>
      <c r="BJ174" s="340" t="e">
        <f t="shared" si="29"/>
        <v>#DIV/0!</v>
      </c>
      <c r="BK174" s="339"/>
      <c r="BL174" s="339"/>
      <c r="BM174" s="340" t="e">
        <f t="shared" si="30"/>
        <v>#DIV/0!</v>
      </c>
      <c r="BN174" s="339"/>
      <c r="BO174" s="339"/>
      <c r="BP174" s="340" t="e">
        <f t="shared" si="31"/>
        <v>#DIV/0!</v>
      </c>
      <c r="BQ174" s="339"/>
      <c r="BR174" s="339"/>
      <c r="BS174" s="340" t="e">
        <f t="shared" si="32"/>
        <v>#DIV/0!</v>
      </c>
      <c r="BT174" s="339"/>
      <c r="BU174" s="339"/>
      <c r="BV174" s="340" t="e">
        <f t="shared" si="33"/>
        <v>#DIV/0!</v>
      </c>
      <c r="BW174" s="1165"/>
      <c r="BX174" s="1166"/>
      <c r="BY174" s="342" t="str">
        <f t="shared" si="34"/>
        <v>NA</v>
      </c>
      <c r="BZ174" s="341" t="e">
        <f t="shared" si="35"/>
        <v>#DIV/0!</v>
      </c>
      <c r="CA174" s="341" t="e">
        <f t="shared" si="36"/>
        <v>#DIV/0!</v>
      </c>
      <c r="CB174" s="335"/>
      <c r="CC174" s="336"/>
      <c r="CD174" s="336"/>
    </row>
    <row r="175" spans="32:82" ht="45" customHeight="1">
      <c r="AF175" s="264" t="s">
        <v>1365</v>
      </c>
      <c r="AG175" s="722"/>
      <c r="AH175" s="9" t="s">
        <v>74</v>
      </c>
      <c r="AI175" s="3">
        <v>0.8</v>
      </c>
      <c r="AJ175" s="3">
        <v>0.95</v>
      </c>
      <c r="AK175" s="3">
        <f>IFERROR(AVERAGE(AI175,AJ175),"")</f>
        <v>0.875</v>
      </c>
      <c r="AL175" s="4">
        <v>23</v>
      </c>
      <c r="AM175" s="4">
        <v>30</v>
      </c>
      <c r="AN175" s="9" t="s">
        <v>75</v>
      </c>
      <c r="AO175" s="256"/>
      <c r="AP175" s="256"/>
      <c r="AQ175" s="9"/>
      <c r="AR175" s="263"/>
      <c r="AS175" s="9"/>
      <c r="AT175" s="9"/>
      <c r="AU175" s="309"/>
      <c r="AV175" s="309"/>
      <c r="AW175" s="309"/>
      <c r="AX175" s="309"/>
      <c r="AY175" s="309"/>
      <c r="AZ175" s="309"/>
      <c r="BA175" s="309"/>
      <c r="BB175" s="309"/>
      <c r="BC175" s="309"/>
      <c r="BD175" s="331" t="s">
        <v>1068</v>
      </c>
      <c r="BE175" s="339"/>
      <c r="BF175" s="339"/>
      <c r="BG175" s="340" t="e">
        <f t="shared" si="28"/>
        <v>#DIV/0!</v>
      </c>
      <c r="BH175" s="339"/>
      <c r="BI175" s="339"/>
      <c r="BJ175" s="340" t="e">
        <f t="shared" si="29"/>
        <v>#DIV/0!</v>
      </c>
      <c r="BK175" s="339"/>
      <c r="BL175" s="339"/>
      <c r="BM175" s="340" t="e">
        <f t="shared" si="30"/>
        <v>#DIV/0!</v>
      </c>
      <c r="BN175" s="339"/>
      <c r="BO175" s="339"/>
      <c r="BP175" s="340" t="e">
        <f t="shared" si="31"/>
        <v>#DIV/0!</v>
      </c>
      <c r="BQ175" s="339"/>
      <c r="BR175" s="339"/>
      <c r="BS175" s="340" t="e">
        <f t="shared" si="32"/>
        <v>#DIV/0!</v>
      </c>
      <c r="BT175" s="339"/>
      <c r="BU175" s="339"/>
      <c r="BV175" s="340" t="e">
        <f t="shared" si="33"/>
        <v>#DIV/0!</v>
      </c>
      <c r="BW175" s="1165"/>
      <c r="BX175" s="1166"/>
      <c r="BY175" s="342" t="str">
        <f t="shared" si="34"/>
        <v>NA</v>
      </c>
      <c r="BZ175" s="341" t="e">
        <f t="shared" si="35"/>
        <v>#DIV/0!</v>
      </c>
      <c r="CA175" s="341" t="e">
        <f t="shared" si="36"/>
        <v>#DIV/0!</v>
      </c>
      <c r="CB175" s="335"/>
      <c r="CC175" s="336"/>
      <c r="CD175" s="336"/>
    </row>
    <row r="176" spans="32:82" ht="45" customHeight="1">
      <c r="AF176" s="264" t="s">
        <v>1366</v>
      </c>
      <c r="AG176" s="722" t="s">
        <v>1205</v>
      </c>
      <c r="AH176" s="9" t="s">
        <v>74</v>
      </c>
      <c r="AI176" s="3">
        <v>0.78</v>
      </c>
      <c r="AJ176" s="3">
        <v>0.85</v>
      </c>
      <c r="AK176" s="3">
        <v>0.81499999999999995</v>
      </c>
      <c r="AL176" s="4">
        <v>20.555555555555557</v>
      </c>
      <c r="AM176" s="4">
        <v>23.888888888888889</v>
      </c>
      <c r="AN176" s="9" t="s">
        <v>1188</v>
      </c>
      <c r="AO176" s="256"/>
      <c r="AP176" s="256" t="s">
        <v>1683</v>
      </c>
      <c r="AQ176" s="9"/>
      <c r="AR176" s="9"/>
      <c r="AS176" s="9"/>
      <c r="AT176" s="9"/>
      <c r="AU176" s="309"/>
      <c r="AV176" s="309"/>
      <c r="AW176" s="309"/>
      <c r="AX176" s="309"/>
      <c r="AY176" s="309"/>
      <c r="AZ176" s="309"/>
      <c r="BA176" s="309"/>
      <c r="BB176" s="309"/>
      <c r="BC176" s="309"/>
      <c r="BD176" s="326" t="s">
        <v>1069</v>
      </c>
      <c r="BE176" s="339"/>
      <c r="BF176" s="339"/>
      <c r="BG176" s="340" t="e">
        <f t="shared" si="28"/>
        <v>#DIV/0!</v>
      </c>
      <c r="BH176" s="339"/>
      <c r="BI176" s="339"/>
      <c r="BJ176" s="340" t="e">
        <f t="shared" si="29"/>
        <v>#DIV/0!</v>
      </c>
      <c r="BK176" s="339"/>
      <c r="BL176" s="339"/>
      <c r="BM176" s="340" t="e">
        <f t="shared" si="30"/>
        <v>#DIV/0!</v>
      </c>
      <c r="BN176" s="339"/>
      <c r="BO176" s="339"/>
      <c r="BP176" s="340" t="e">
        <f t="shared" si="31"/>
        <v>#DIV/0!</v>
      </c>
      <c r="BQ176" s="339"/>
      <c r="BR176" s="339"/>
      <c r="BS176" s="340" t="e">
        <f t="shared" si="32"/>
        <v>#DIV/0!</v>
      </c>
      <c r="BT176" s="339"/>
      <c r="BU176" s="339"/>
      <c r="BV176" s="340" t="e">
        <f t="shared" si="33"/>
        <v>#DIV/0!</v>
      </c>
      <c r="BW176" s="1165"/>
      <c r="BX176" s="1166"/>
      <c r="BY176" s="342" t="str">
        <f t="shared" si="34"/>
        <v>NA</v>
      </c>
      <c r="BZ176" s="341" t="e">
        <f t="shared" si="35"/>
        <v>#DIV/0!</v>
      </c>
      <c r="CA176" s="341" t="e">
        <f t="shared" si="36"/>
        <v>#DIV/0!</v>
      </c>
      <c r="CB176" s="335"/>
      <c r="CC176" s="336"/>
      <c r="CD176" s="336"/>
    </row>
    <row r="177" spans="32:82" ht="45" customHeight="1">
      <c r="AF177" s="264" t="s">
        <v>2345</v>
      </c>
      <c r="AG177" s="722" t="s">
        <v>2343</v>
      </c>
      <c r="AH177" s="9" t="s">
        <v>74</v>
      </c>
      <c r="AI177" s="3">
        <v>0.7</v>
      </c>
      <c r="AJ177" s="3">
        <v>0.75</v>
      </c>
      <c r="AK177" s="3">
        <f>IFERROR(AVERAGE(AI177,AJ177),"")</f>
        <v>0.72499999999999998</v>
      </c>
      <c r="AL177" s="4">
        <v>20</v>
      </c>
      <c r="AM177" s="4">
        <v>26</v>
      </c>
      <c r="AN177" s="9"/>
      <c r="AO177" s="256" t="s">
        <v>2347</v>
      </c>
      <c r="AP177" s="256" t="s">
        <v>2346</v>
      </c>
      <c r="AQ177" s="9"/>
      <c r="AR177" s="263"/>
      <c r="AS177" s="9"/>
      <c r="AT177" s="9"/>
      <c r="AU177" s="309"/>
      <c r="AV177" s="309"/>
      <c r="AW177" s="309"/>
      <c r="AX177" s="309"/>
      <c r="AY177" s="309"/>
      <c r="AZ177" s="309"/>
      <c r="BA177" s="309"/>
      <c r="BB177" s="309"/>
      <c r="BC177" s="309"/>
      <c r="BD177" s="331" t="s">
        <v>1070</v>
      </c>
      <c r="BE177" s="339"/>
      <c r="BF177" s="339"/>
      <c r="BG177" s="340" t="e">
        <f t="shared" si="28"/>
        <v>#DIV/0!</v>
      </c>
      <c r="BH177" s="339"/>
      <c r="BI177" s="339"/>
      <c r="BJ177" s="340" t="e">
        <f t="shared" si="29"/>
        <v>#DIV/0!</v>
      </c>
      <c r="BK177" s="339"/>
      <c r="BL177" s="339"/>
      <c r="BM177" s="340" t="e">
        <f t="shared" si="30"/>
        <v>#DIV/0!</v>
      </c>
      <c r="BN177" s="339"/>
      <c r="BO177" s="339"/>
      <c r="BP177" s="340" t="e">
        <f t="shared" si="31"/>
        <v>#DIV/0!</v>
      </c>
      <c r="BQ177" s="339"/>
      <c r="BR177" s="339"/>
      <c r="BS177" s="340" t="e">
        <f t="shared" si="32"/>
        <v>#DIV/0!</v>
      </c>
      <c r="BT177" s="339"/>
      <c r="BU177" s="339"/>
      <c r="BV177" s="340" t="e">
        <f t="shared" si="33"/>
        <v>#DIV/0!</v>
      </c>
      <c r="BW177" s="1165"/>
      <c r="BX177" s="1166"/>
      <c r="BY177" s="342" t="str">
        <f t="shared" si="34"/>
        <v>NA</v>
      </c>
      <c r="BZ177" s="341" t="e">
        <f t="shared" si="35"/>
        <v>#DIV/0!</v>
      </c>
      <c r="CA177" s="341" t="e">
        <f t="shared" si="36"/>
        <v>#DIV/0!</v>
      </c>
      <c r="CB177" s="335"/>
      <c r="CC177" s="336"/>
      <c r="CD177" s="336"/>
    </row>
    <row r="178" spans="32:82" ht="45" customHeight="1">
      <c r="AF178" s="264" t="s">
        <v>1367</v>
      </c>
      <c r="AG178" s="722" t="s">
        <v>1205</v>
      </c>
      <c r="AH178" s="9" t="s">
        <v>74</v>
      </c>
      <c r="AI178" s="3">
        <v>0</v>
      </c>
      <c r="AJ178" s="3">
        <v>0</v>
      </c>
      <c r="AK178" s="3"/>
      <c r="AL178" s="4">
        <v>-17.777777777777779</v>
      </c>
      <c r="AM178" s="4">
        <v>-17.777777777777779</v>
      </c>
      <c r="AN178" s="9"/>
      <c r="AO178" s="256"/>
      <c r="AP178" s="256"/>
      <c r="AQ178" s="9"/>
      <c r="AR178" s="9"/>
      <c r="AS178" s="9"/>
      <c r="AT178" s="9"/>
      <c r="AU178" s="309"/>
      <c r="AV178" s="309"/>
      <c r="AW178" s="309"/>
      <c r="AX178" s="309"/>
      <c r="AY178" s="309"/>
      <c r="AZ178" s="309"/>
      <c r="BA178" s="309"/>
      <c r="BB178" s="309"/>
      <c r="BC178" s="309"/>
      <c r="BD178" s="331" t="s">
        <v>1071</v>
      </c>
      <c r="BE178" s="339"/>
      <c r="BF178" s="339"/>
      <c r="BG178" s="340" t="e">
        <f t="shared" si="28"/>
        <v>#DIV/0!</v>
      </c>
      <c r="BH178" s="339"/>
      <c r="BI178" s="339"/>
      <c r="BJ178" s="340" t="e">
        <f t="shared" si="29"/>
        <v>#DIV/0!</v>
      </c>
      <c r="BK178" s="339"/>
      <c r="BL178" s="339"/>
      <c r="BM178" s="340" t="e">
        <f t="shared" si="30"/>
        <v>#DIV/0!</v>
      </c>
      <c r="BN178" s="339"/>
      <c r="BO178" s="339"/>
      <c r="BP178" s="340" t="e">
        <f t="shared" si="31"/>
        <v>#DIV/0!</v>
      </c>
      <c r="BQ178" s="339"/>
      <c r="BR178" s="339"/>
      <c r="BS178" s="340" t="e">
        <f t="shared" si="32"/>
        <v>#DIV/0!</v>
      </c>
      <c r="BT178" s="339"/>
      <c r="BU178" s="339"/>
      <c r="BV178" s="340" t="e">
        <f t="shared" si="33"/>
        <v>#DIV/0!</v>
      </c>
      <c r="BW178" s="1165"/>
      <c r="BX178" s="1166"/>
      <c r="BY178" s="342" t="str">
        <f t="shared" si="34"/>
        <v>NA</v>
      </c>
      <c r="BZ178" s="341" t="e">
        <f t="shared" si="35"/>
        <v>#DIV/0!</v>
      </c>
      <c r="CA178" s="341" t="e">
        <f t="shared" si="36"/>
        <v>#DIV/0!</v>
      </c>
      <c r="CB178" s="335"/>
      <c r="CC178" s="336"/>
      <c r="CD178" s="336"/>
    </row>
    <row r="179" spans="32:82" ht="45" customHeight="1">
      <c r="AF179" s="264" t="s">
        <v>1368</v>
      </c>
      <c r="AG179" s="722" t="s">
        <v>1185</v>
      </c>
      <c r="AH179" s="9" t="s">
        <v>74</v>
      </c>
      <c r="AI179" s="3">
        <v>0.73</v>
      </c>
      <c r="AJ179" s="3">
        <v>0.77</v>
      </c>
      <c r="AK179" s="3">
        <v>0.75</v>
      </c>
      <c r="AL179" s="4">
        <v>17.222222222222221</v>
      </c>
      <c r="AM179" s="4">
        <v>22.777777777777779</v>
      </c>
      <c r="AN179" s="9" t="s">
        <v>1198</v>
      </c>
      <c r="AO179" s="256"/>
      <c r="AP179" s="256" t="s">
        <v>1684</v>
      </c>
      <c r="AQ179" s="9"/>
      <c r="AR179" s="9"/>
      <c r="AS179" s="9"/>
      <c r="AT179" s="9"/>
      <c r="AU179" s="309"/>
      <c r="AV179" s="309"/>
      <c r="AW179" s="309"/>
      <c r="AX179" s="309"/>
      <c r="AY179" s="309"/>
      <c r="AZ179" s="309"/>
      <c r="BA179" s="309"/>
      <c r="BB179" s="309"/>
      <c r="BC179" s="309"/>
      <c r="BD179" s="326" t="s">
        <v>1072</v>
      </c>
      <c r="BE179" s="339"/>
      <c r="BF179" s="339"/>
      <c r="BG179" s="340" t="e">
        <f t="shared" si="28"/>
        <v>#DIV/0!</v>
      </c>
      <c r="BH179" s="339"/>
      <c r="BI179" s="339"/>
      <c r="BJ179" s="340" t="e">
        <f t="shared" si="29"/>
        <v>#DIV/0!</v>
      </c>
      <c r="BK179" s="339"/>
      <c r="BL179" s="339"/>
      <c r="BM179" s="340" t="e">
        <f t="shared" si="30"/>
        <v>#DIV/0!</v>
      </c>
      <c r="BN179" s="339"/>
      <c r="BO179" s="339"/>
      <c r="BP179" s="340" t="e">
        <f t="shared" si="31"/>
        <v>#DIV/0!</v>
      </c>
      <c r="BQ179" s="339"/>
      <c r="BR179" s="339"/>
      <c r="BS179" s="340" t="e">
        <f t="shared" si="32"/>
        <v>#DIV/0!</v>
      </c>
      <c r="BT179" s="339"/>
      <c r="BU179" s="339"/>
      <c r="BV179" s="340" t="e">
        <f t="shared" si="33"/>
        <v>#DIV/0!</v>
      </c>
      <c r="BW179" s="1165"/>
      <c r="BX179" s="1166"/>
      <c r="BY179" s="342" t="str">
        <f t="shared" si="34"/>
        <v>NA</v>
      </c>
      <c r="BZ179" s="341" t="e">
        <f t="shared" si="35"/>
        <v>#DIV/0!</v>
      </c>
      <c r="CA179" s="341" t="e">
        <f t="shared" si="36"/>
        <v>#DIV/0!</v>
      </c>
      <c r="CB179" s="335"/>
      <c r="CC179" s="336"/>
      <c r="CD179" s="336"/>
    </row>
    <row r="180" spans="32:82" ht="45" customHeight="1">
      <c r="AF180" s="264" t="s">
        <v>1369</v>
      </c>
      <c r="AG180" s="722" t="s">
        <v>1185</v>
      </c>
      <c r="AH180" s="9" t="s">
        <v>74</v>
      </c>
      <c r="AI180" s="3">
        <v>0.73</v>
      </c>
      <c r="AJ180" s="3">
        <v>0.77</v>
      </c>
      <c r="AK180" s="3">
        <v>0.75</v>
      </c>
      <c r="AL180" s="4">
        <v>13.333333333333334</v>
      </c>
      <c r="AM180" s="4">
        <v>18.333333333333332</v>
      </c>
      <c r="AN180" s="9" t="s">
        <v>1198</v>
      </c>
      <c r="AO180" s="256"/>
      <c r="AP180" s="256" t="s">
        <v>1685</v>
      </c>
      <c r="AQ180" s="9"/>
      <c r="AR180" s="9"/>
      <c r="AS180" s="9"/>
      <c r="AT180" s="9"/>
      <c r="AU180" s="309"/>
      <c r="AV180" s="309"/>
      <c r="AW180" s="309"/>
      <c r="AX180" s="309"/>
      <c r="AY180" s="309"/>
      <c r="AZ180" s="309"/>
      <c r="BA180" s="309"/>
      <c r="BB180" s="309"/>
      <c r="BC180" s="309"/>
      <c r="BD180" s="331" t="s">
        <v>1073</v>
      </c>
      <c r="BE180" s="339"/>
      <c r="BF180" s="339"/>
      <c r="BG180" s="340" t="e">
        <f t="shared" si="28"/>
        <v>#DIV/0!</v>
      </c>
      <c r="BH180" s="339"/>
      <c r="BI180" s="339"/>
      <c r="BJ180" s="340" t="e">
        <f t="shared" si="29"/>
        <v>#DIV/0!</v>
      </c>
      <c r="BK180" s="339"/>
      <c r="BL180" s="339"/>
      <c r="BM180" s="340" t="e">
        <f t="shared" si="30"/>
        <v>#DIV/0!</v>
      </c>
      <c r="BN180" s="339"/>
      <c r="BO180" s="339"/>
      <c r="BP180" s="340" t="e">
        <f t="shared" si="31"/>
        <v>#DIV/0!</v>
      </c>
      <c r="BQ180" s="339"/>
      <c r="BR180" s="339"/>
      <c r="BS180" s="340" t="e">
        <f t="shared" si="32"/>
        <v>#DIV/0!</v>
      </c>
      <c r="BT180" s="339"/>
      <c r="BU180" s="339"/>
      <c r="BV180" s="340" t="e">
        <f t="shared" si="33"/>
        <v>#DIV/0!</v>
      </c>
      <c r="BW180" s="1165"/>
      <c r="BX180" s="1166"/>
      <c r="BY180" s="342" t="str">
        <f t="shared" si="34"/>
        <v>NA</v>
      </c>
      <c r="BZ180" s="341" t="e">
        <f t="shared" si="35"/>
        <v>#DIV/0!</v>
      </c>
      <c r="CA180" s="341" t="e">
        <f t="shared" si="36"/>
        <v>#DIV/0!</v>
      </c>
      <c r="CB180" s="335"/>
      <c r="CC180" s="336"/>
      <c r="CD180" s="336"/>
    </row>
    <row r="181" spans="32:82" ht="45" customHeight="1">
      <c r="AF181" s="264" t="s">
        <v>1370</v>
      </c>
      <c r="AG181" s="722" t="s">
        <v>1185</v>
      </c>
      <c r="AH181" s="9" t="s">
        <v>74</v>
      </c>
      <c r="AI181" s="3">
        <v>0.73</v>
      </c>
      <c r="AJ181" s="3">
        <v>0.77</v>
      </c>
      <c r="AK181" s="3">
        <v>0.75</v>
      </c>
      <c r="AL181" s="4">
        <v>15.555555555555555</v>
      </c>
      <c r="AM181" s="4">
        <v>20.555555555555557</v>
      </c>
      <c r="AN181" s="9" t="s">
        <v>1188</v>
      </c>
      <c r="AO181" s="256"/>
      <c r="AP181" s="256" t="s">
        <v>1686</v>
      </c>
      <c r="AQ181" s="9"/>
      <c r="AR181" s="9"/>
      <c r="AS181" s="9"/>
      <c r="AT181" s="9"/>
      <c r="AU181" s="309"/>
      <c r="AV181" s="309"/>
      <c r="AW181" s="309"/>
      <c r="AX181" s="309"/>
      <c r="AY181" s="309"/>
      <c r="AZ181" s="309"/>
      <c r="BA181" s="309"/>
      <c r="BB181" s="309"/>
      <c r="BC181" s="309"/>
      <c r="BD181" s="331" t="s">
        <v>1074</v>
      </c>
      <c r="BE181" s="339"/>
      <c r="BF181" s="339"/>
      <c r="BG181" s="340" t="e">
        <f t="shared" si="28"/>
        <v>#DIV/0!</v>
      </c>
      <c r="BH181" s="339"/>
      <c r="BI181" s="339"/>
      <c r="BJ181" s="340" t="e">
        <f t="shared" si="29"/>
        <v>#DIV/0!</v>
      </c>
      <c r="BK181" s="339"/>
      <c r="BL181" s="339"/>
      <c r="BM181" s="340" t="e">
        <f t="shared" si="30"/>
        <v>#DIV/0!</v>
      </c>
      <c r="BN181" s="339"/>
      <c r="BO181" s="339"/>
      <c r="BP181" s="340" t="e">
        <f t="shared" si="31"/>
        <v>#DIV/0!</v>
      </c>
      <c r="BQ181" s="339"/>
      <c r="BR181" s="339"/>
      <c r="BS181" s="340" t="e">
        <f t="shared" si="32"/>
        <v>#DIV/0!</v>
      </c>
      <c r="BT181" s="339"/>
      <c r="BU181" s="339"/>
      <c r="BV181" s="340" t="e">
        <f t="shared" si="33"/>
        <v>#DIV/0!</v>
      </c>
      <c r="BW181" s="1165"/>
      <c r="BX181" s="1166"/>
      <c r="BY181" s="342" t="str">
        <f t="shared" si="34"/>
        <v>NA</v>
      </c>
      <c r="BZ181" s="341" t="e">
        <f t="shared" si="35"/>
        <v>#DIV/0!</v>
      </c>
      <c r="CA181" s="341" t="e">
        <f t="shared" si="36"/>
        <v>#DIV/0!</v>
      </c>
      <c r="CB181" s="335"/>
      <c r="CC181" s="336"/>
      <c r="CD181" s="336"/>
    </row>
    <row r="182" spans="32:82" ht="45" customHeight="1">
      <c r="AF182" s="264" t="s">
        <v>1371</v>
      </c>
      <c r="AG182" s="722" t="s">
        <v>1213</v>
      </c>
      <c r="AH182" s="9" t="s">
        <v>74</v>
      </c>
      <c r="AI182" s="3">
        <v>0.73</v>
      </c>
      <c r="AJ182" s="3">
        <v>0.77</v>
      </c>
      <c r="AK182" s="3">
        <v>0.75</v>
      </c>
      <c r="AL182" s="4">
        <v>12.777777777777779</v>
      </c>
      <c r="AM182" s="4">
        <v>20</v>
      </c>
      <c r="AN182" s="9" t="s">
        <v>1198</v>
      </c>
      <c r="AO182" s="256"/>
      <c r="AP182" s="256" t="s">
        <v>1687</v>
      </c>
      <c r="AQ182" s="9"/>
      <c r="AR182" s="9"/>
      <c r="AS182" s="9"/>
      <c r="AT182" s="9"/>
      <c r="AU182" s="309"/>
      <c r="AV182" s="309"/>
      <c r="AW182" s="309"/>
      <c r="AX182" s="309"/>
      <c r="AY182" s="309"/>
      <c r="AZ182" s="309"/>
      <c r="BA182" s="309"/>
      <c r="BB182" s="309"/>
      <c r="BC182" s="309"/>
      <c r="BD182" s="331" t="s">
        <v>1075</v>
      </c>
      <c r="BE182" s="339"/>
      <c r="BF182" s="339"/>
      <c r="BG182" s="340" t="e">
        <f t="shared" si="28"/>
        <v>#DIV/0!</v>
      </c>
      <c r="BH182" s="339"/>
      <c r="BI182" s="339"/>
      <c r="BJ182" s="340" t="e">
        <f t="shared" si="29"/>
        <v>#DIV/0!</v>
      </c>
      <c r="BK182" s="339"/>
      <c r="BL182" s="339"/>
      <c r="BM182" s="340" t="e">
        <f t="shared" si="30"/>
        <v>#DIV/0!</v>
      </c>
      <c r="BN182" s="339"/>
      <c r="BO182" s="339"/>
      <c r="BP182" s="340" t="e">
        <f t="shared" si="31"/>
        <v>#DIV/0!</v>
      </c>
      <c r="BQ182" s="339"/>
      <c r="BR182" s="339"/>
      <c r="BS182" s="340" t="e">
        <f t="shared" si="32"/>
        <v>#DIV/0!</v>
      </c>
      <c r="BT182" s="339"/>
      <c r="BU182" s="339"/>
      <c r="BV182" s="340" t="e">
        <f t="shared" si="33"/>
        <v>#DIV/0!</v>
      </c>
      <c r="BW182" s="1165"/>
      <c r="BX182" s="1166"/>
      <c r="BY182" s="342" t="str">
        <f t="shared" si="34"/>
        <v>NA</v>
      </c>
      <c r="BZ182" s="341" t="e">
        <f t="shared" si="35"/>
        <v>#DIV/0!</v>
      </c>
      <c r="CA182" s="341" t="e">
        <f t="shared" si="36"/>
        <v>#DIV/0!</v>
      </c>
      <c r="CB182" s="335"/>
      <c r="CC182" s="336"/>
      <c r="CD182" s="336"/>
    </row>
    <row r="183" spans="32:82" ht="45" customHeight="1">
      <c r="AF183" s="264" t="s">
        <v>1372</v>
      </c>
      <c r="AG183" s="722" t="s">
        <v>1205</v>
      </c>
      <c r="AH183" s="9" t="s">
        <v>74</v>
      </c>
      <c r="AI183" s="3">
        <v>0.73</v>
      </c>
      <c r="AJ183" s="3">
        <v>0.78</v>
      </c>
      <c r="AK183" s="3">
        <v>0.76500000000000001</v>
      </c>
      <c r="AL183" s="4">
        <v>18.333333333333332</v>
      </c>
      <c r="AM183" s="4">
        <v>21.111111111111111</v>
      </c>
      <c r="AN183" s="9" t="s">
        <v>1188</v>
      </c>
      <c r="AO183" s="256"/>
      <c r="AP183" s="256" t="s">
        <v>1688</v>
      </c>
      <c r="AQ183" s="9"/>
      <c r="AR183" s="9"/>
      <c r="AS183" s="9"/>
      <c r="AT183" s="9"/>
      <c r="AU183" s="309"/>
      <c r="AV183" s="309"/>
      <c r="AW183" s="309"/>
      <c r="AX183" s="309"/>
      <c r="AY183" s="309"/>
      <c r="AZ183" s="309"/>
      <c r="BA183" s="309"/>
      <c r="BB183" s="309"/>
      <c r="BC183" s="309"/>
      <c r="BD183" s="309"/>
      <c r="BE183" s="309"/>
      <c r="BF183" s="309"/>
      <c r="BG183" s="309"/>
      <c r="BH183" s="309"/>
      <c r="BI183" s="309"/>
      <c r="BJ183" s="323"/>
      <c r="BK183" s="309"/>
      <c r="BL183" s="309"/>
      <c r="BM183" s="323"/>
      <c r="BN183" s="309"/>
      <c r="BO183" s="309"/>
      <c r="BP183" s="323"/>
      <c r="BQ183" s="309"/>
      <c r="BR183" s="309"/>
      <c r="BS183" s="323"/>
      <c r="BT183" s="309"/>
      <c r="BU183" s="309"/>
      <c r="BV183" s="323"/>
      <c r="BW183" s="309"/>
      <c r="BX183" s="309"/>
      <c r="BY183" s="309"/>
      <c r="BZ183" s="309"/>
      <c r="CA183" s="309"/>
      <c r="CB183" s="309"/>
      <c r="CC183" s="309"/>
      <c r="CD183" s="309"/>
    </row>
    <row r="184" spans="32:82" ht="45" customHeight="1">
      <c r="AF184" s="264" t="s">
        <v>1373</v>
      </c>
      <c r="AG184" s="722" t="s">
        <v>1205</v>
      </c>
      <c r="AH184" s="9" t="s">
        <v>74</v>
      </c>
      <c r="AI184" s="3">
        <v>0.72</v>
      </c>
      <c r="AJ184" s="3">
        <v>0.78</v>
      </c>
      <c r="AK184" s="3">
        <v>0.75</v>
      </c>
      <c r="AL184" s="4">
        <v>18.333333333333332</v>
      </c>
      <c r="AM184" s="4">
        <v>20.555555555555557</v>
      </c>
      <c r="AN184" s="9" t="s">
        <v>1188</v>
      </c>
      <c r="AO184" s="256"/>
      <c r="AP184" s="256" t="s">
        <v>1689</v>
      </c>
      <c r="AQ184" s="9"/>
      <c r="AR184" s="9"/>
      <c r="AS184" s="9"/>
      <c r="AT184" s="9"/>
      <c r="AU184" s="309"/>
      <c r="AV184" s="309"/>
      <c r="AW184" s="309"/>
      <c r="AX184" s="309"/>
      <c r="AY184" s="309"/>
      <c r="AZ184" s="309"/>
      <c r="BA184" s="309"/>
      <c r="BB184" s="309"/>
      <c r="BC184" s="309"/>
      <c r="BD184" s="309"/>
      <c r="BE184" s="309"/>
      <c r="BF184" s="309"/>
      <c r="BG184" s="309"/>
      <c r="BH184" s="309"/>
      <c r="BI184" s="309"/>
      <c r="BJ184" s="343"/>
      <c r="BK184" s="324"/>
      <c r="BL184" s="309"/>
      <c r="BM184" s="323"/>
      <c r="BN184" s="309"/>
      <c r="BO184" s="309"/>
      <c r="BP184" s="323"/>
      <c r="BQ184" s="309"/>
      <c r="BR184" s="309"/>
      <c r="BS184" s="323"/>
      <c r="BT184" s="309"/>
      <c r="BU184" s="309"/>
      <c r="BV184" s="323"/>
      <c r="BW184" s="309"/>
      <c r="BX184" s="309"/>
      <c r="BY184" s="309"/>
      <c r="BZ184" s="309"/>
      <c r="CA184" s="309"/>
      <c r="CB184" s="309"/>
      <c r="CC184" s="309"/>
      <c r="CD184" s="309"/>
    </row>
    <row r="185" spans="32:82" ht="45" customHeight="1">
      <c r="AF185" s="264" t="s">
        <v>2561</v>
      </c>
      <c r="AG185" s="722"/>
      <c r="AH185" s="9" t="s">
        <v>74</v>
      </c>
      <c r="AI185" s="3">
        <v>0.7</v>
      </c>
      <c r="AJ185" s="3">
        <v>0.76</v>
      </c>
      <c r="AK185" s="3">
        <f>IFERROR(AVERAGE(AI185,AJ185),"")</f>
        <v>0.73</v>
      </c>
      <c r="AL185" s="4">
        <v>9</v>
      </c>
      <c r="AM185" s="4">
        <v>13</v>
      </c>
      <c r="AN185" s="9" t="s">
        <v>73</v>
      </c>
      <c r="AO185" s="256"/>
      <c r="AP185" s="256"/>
      <c r="AQ185" s="9"/>
      <c r="AR185" s="263"/>
      <c r="AS185" s="9"/>
      <c r="AT185" s="9"/>
      <c r="AU185" s="309"/>
      <c r="AV185" s="309"/>
      <c r="AW185" s="309"/>
      <c r="AX185" s="309"/>
      <c r="AY185" s="309"/>
      <c r="AZ185" s="309"/>
      <c r="BA185" s="309"/>
      <c r="BB185" s="309"/>
      <c r="BC185" s="309"/>
      <c r="BD185" s="309"/>
      <c r="BE185" s="309"/>
      <c r="BF185" s="309"/>
      <c r="BG185" s="309"/>
      <c r="BH185" s="309"/>
      <c r="BI185" s="309"/>
      <c r="BJ185" s="343"/>
      <c r="BK185" s="324"/>
      <c r="BL185" s="309"/>
      <c r="BM185" s="323"/>
      <c r="BN185" s="309"/>
      <c r="BO185" s="309"/>
      <c r="BP185" s="323"/>
      <c r="BQ185" s="309"/>
      <c r="BR185" s="309"/>
      <c r="BS185" s="323"/>
      <c r="BT185" s="309"/>
      <c r="BU185" s="309"/>
      <c r="BV185" s="323"/>
      <c r="BW185" s="309"/>
      <c r="BX185" s="309"/>
      <c r="BY185" s="309"/>
      <c r="BZ185" s="309"/>
      <c r="CA185" s="309"/>
      <c r="CB185" s="309"/>
      <c r="CC185" s="309"/>
      <c r="CD185" s="309"/>
    </row>
    <row r="186" spans="32:82" ht="45" customHeight="1">
      <c r="AF186" s="264" t="s">
        <v>1375</v>
      </c>
      <c r="AG186" s="722" t="s">
        <v>1205</v>
      </c>
      <c r="AH186" s="9" t="s">
        <v>74</v>
      </c>
      <c r="AI186" s="3">
        <v>0.7</v>
      </c>
      <c r="AJ186" s="3">
        <v>0.75</v>
      </c>
      <c r="AK186" s="3">
        <v>0.73</v>
      </c>
      <c r="AL186" s="4">
        <v>8.8888888888888893</v>
      </c>
      <c r="AM186" s="4">
        <v>12.777777777777779</v>
      </c>
      <c r="AN186" s="9" t="s">
        <v>1188</v>
      </c>
      <c r="AO186" s="256"/>
      <c r="AP186" s="256" t="s">
        <v>1691</v>
      </c>
      <c r="AQ186" s="9"/>
      <c r="AR186" s="9"/>
      <c r="AS186" s="9"/>
      <c r="AT186" s="9"/>
      <c r="AU186" s="309"/>
      <c r="AV186" s="309"/>
      <c r="AW186" s="309"/>
      <c r="AX186" s="309"/>
      <c r="AY186" s="309"/>
      <c r="AZ186" s="309"/>
      <c r="BA186" s="309"/>
      <c r="BB186" s="309"/>
      <c r="BC186" s="309"/>
      <c r="BD186" s="309"/>
      <c r="BE186" s="309"/>
      <c r="BF186" s="309"/>
      <c r="BG186" s="309"/>
      <c r="BH186" s="309"/>
      <c r="BI186" s="309"/>
      <c r="BJ186" s="343"/>
      <c r="BK186" s="324"/>
      <c r="BL186" s="309"/>
      <c r="BM186" s="323"/>
      <c r="BN186" s="309"/>
      <c r="BO186" s="309"/>
      <c r="BP186" s="323"/>
      <c r="BQ186" s="309"/>
      <c r="BR186" s="309"/>
      <c r="BS186" s="323"/>
      <c r="BT186" s="309"/>
      <c r="BU186" s="309"/>
      <c r="BV186" s="323"/>
      <c r="BW186" s="309"/>
      <c r="BX186" s="309"/>
      <c r="BY186" s="309"/>
      <c r="BZ186" s="309"/>
      <c r="CA186" s="309"/>
      <c r="CB186" s="309"/>
      <c r="CC186" s="309"/>
      <c r="CD186" s="309"/>
    </row>
    <row r="187" spans="32:82" ht="45" customHeight="1">
      <c r="AF187" s="264" t="s">
        <v>1374</v>
      </c>
      <c r="AG187" s="722" t="s">
        <v>1208</v>
      </c>
      <c r="AH187" s="9" t="s">
        <v>74</v>
      </c>
      <c r="AI187" s="3">
        <v>0.7</v>
      </c>
      <c r="AJ187" s="3">
        <v>0.76</v>
      </c>
      <c r="AK187" s="3">
        <v>0.73</v>
      </c>
      <c r="AL187" s="4">
        <v>8.8888888888888893</v>
      </c>
      <c r="AM187" s="4">
        <v>12.777777777777779</v>
      </c>
      <c r="AN187" s="9" t="s">
        <v>1188</v>
      </c>
      <c r="AO187" s="256"/>
      <c r="AP187" s="256" t="s">
        <v>1690</v>
      </c>
      <c r="AQ187" s="9"/>
      <c r="AR187" s="9"/>
      <c r="AS187" s="9"/>
      <c r="AT187" s="9"/>
      <c r="AU187" s="309"/>
      <c r="AV187" s="309"/>
      <c r="AW187" s="309"/>
      <c r="AX187" s="309"/>
      <c r="AY187" s="309"/>
      <c r="AZ187" s="309"/>
      <c r="BA187" s="309"/>
      <c r="BB187" s="309"/>
      <c r="BC187" s="309"/>
      <c r="BD187" s="309"/>
      <c r="BE187" s="309"/>
      <c r="BF187" s="309"/>
      <c r="BG187" s="309"/>
      <c r="BH187" s="309"/>
      <c r="BI187" s="309"/>
      <c r="BJ187" s="343"/>
      <c r="BK187" s="324"/>
      <c r="BL187" s="309"/>
      <c r="BM187" s="323"/>
      <c r="BN187" s="309"/>
      <c r="BO187" s="309"/>
      <c r="BP187" s="323"/>
      <c r="BQ187" s="309"/>
      <c r="BR187" s="309"/>
      <c r="BS187" s="323"/>
      <c r="BT187" s="309"/>
      <c r="BU187" s="309"/>
      <c r="BV187" s="323"/>
      <c r="BW187" s="309"/>
      <c r="BX187" s="309"/>
      <c r="BY187" s="309"/>
      <c r="BZ187" s="309"/>
      <c r="CA187" s="309"/>
      <c r="CB187" s="309"/>
      <c r="CC187" s="309"/>
      <c r="CD187" s="309"/>
    </row>
    <row r="188" spans="32:82" ht="45" customHeight="1">
      <c r="AF188" s="264" t="s">
        <v>1376</v>
      </c>
      <c r="AG188" s="722" t="s">
        <v>1208</v>
      </c>
      <c r="AH188" s="9" t="s">
        <v>74</v>
      </c>
      <c r="AI188" s="3">
        <v>0.73</v>
      </c>
      <c r="AJ188" s="3">
        <v>0.77</v>
      </c>
      <c r="AK188" s="3">
        <v>0.75</v>
      </c>
      <c r="AL188" s="4">
        <v>7.2222222222222223</v>
      </c>
      <c r="AM188" s="4">
        <v>20</v>
      </c>
      <c r="AN188" s="9" t="s">
        <v>1377</v>
      </c>
      <c r="AO188" s="256"/>
      <c r="AP188" s="256" t="s">
        <v>1692</v>
      </c>
      <c r="AQ188" s="9"/>
      <c r="AR188" s="9"/>
      <c r="AS188" s="9"/>
      <c r="AT188" s="9"/>
      <c r="AU188" s="309"/>
      <c r="AV188" s="309"/>
      <c r="AW188" s="309"/>
      <c r="AX188" s="309"/>
      <c r="AY188" s="309"/>
      <c r="AZ188" s="309"/>
      <c r="BA188" s="309"/>
      <c r="BB188" s="309"/>
      <c r="BC188" s="309"/>
      <c r="BD188" s="309"/>
      <c r="BE188" s="309"/>
      <c r="BF188" s="309"/>
      <c r="BG188" s="309"/>
      <c r="BH188" s="309"/>
      <c r="BI188" s="309"/>
      <c r="BJ188" s="343"/>
      <c r="BK188" s="324"/>
      <c r="BL188" s="309"/>
      <c r="BM188" s="323"/>
      <c r="BN188" s="309"/>
      <c r="BO188" s="309"/>
      <c r="BP188" s="323"/>
      <c r="BQ188" s="309"/>
      <c r="BR188" s="309"/>
      <c r="BS188" s="323"/>
      <c r="BT188" s="309"/>
      <c r="BU188" s="309"/>
      <c r="BV188" s="323"/>
      <c r="BW188" s="309"/>
      <c r="BX188" s="309"/>
      <c r="BY188" s="309"/>
      <c r="BZ188" s="309"/>
      <c r="CA188" s="309"/>
      <c r="CB188" s="309"/>
      <c r="CC188" s="309"/>
      <c r="CD188" s="309"/>
    </row>
    <row r="189" spans="32:82" ht="45" customHeight="1">
      <c r="AF189" s="264" t="s">
        <v>1378</v>
      </c>
      <c r="AG189" s="722" t="s">
        <v>1205</v>
      </c>
      <c r="AH189" s="9" t="s">
        <v>74</v>
      </c>
      <c r="AI189" s="3">
        <v>0.74</v>
      </c>
      <c r="AJ189" s="3">
        <v>0.79</v>
      </c>
      <c r="AK189" s="3">
        <v>0.76500000000000001</v>
      </c>
      <c r="AL189" s="4">
        <v>10</v>
      </c>
      <c r="AM189" s="4">
        <v>12.777777777777779</v>
      </c>
      <c r="AN189" s="9" t="s">
        <v>1188</v>
      </c>
      <c r="AO189" s="256"/>
      <c r="AP189" s="256" t="s">
        <v>1693</v>
      </c>
      <c r="AQ189" s="9"/>
      <c r="AR189" s="9"/>
      <c r="AS189" s="9"/>
      <c r="AT189" s="9"/>
      <c r="AU189" s="309"/>
      <c r="AV189" s="309"/>
      <c r="AW189" s="309"/>
      <c r="AX189" s="309"/>
      <c r="AY189" s="309"/>
      <c r="AZ189" s="309"/>
      <c r="BA189" s="309"/>
      <c r="BB189" s="309"/>
      <c r="BC189" s="309"/>
      <c r="BD189" s="309"/>
      <c r="BE189" s="309"/>
      <c r="BF189" s="309"/>
      <c r="BG189" s="309"/>
      <c r="BH189" s="309"/>
      <c r="BI189" s="309"/>
      <c r="BJ189" s="343"/>
      <c r="BK189" s="324"/>
      <c r="BL189" s="309"/>
      <c r="BM189" s="323"/>
      <c r="BN189" s="309"/>
      <c r="BO189" s="309"/>
      <c r="BP189" s="323"/>
      <c r="BQ189" s="309"/>
      <c r="BR189" s="309"/>
      <c r="BS189" s="323"/>
      <c r="BT189" s="309"/>
      <c r="BU189" s="309"/>
      <c r="BV189" s="323"/>
      <c r="BW189" s="309"/>
      <c r="BX189" s="309"/>
      <c r="BY189" s="309"/>
      <c r="BZ189" s="309"/>
      <c r="CA189" s="309"/>
      <c r="CB189" s="309"/>
      <c r="CC189" s="309"/>
      <c r="CD189" s="309"/>
    </row>
    <row r="190" spans="32:82" ht="45" customHeight="1">
      <c r="AF190" s="264" t="s">
        <v>1380</v>
      </c>
      <c r="AG190" s="722" t="s">
        <v>1213</v>
      </c>
      <c r="AH190" s="9" t="s">
        <v>74</v>
      </c>
      <c r="AI190" s="3">
        <v>0.73</v>
      </c>
      <c r="AJ190" s="3">
        <v>0.77</v>
      </c>
      <c r="AK190" s="3">
        <v>0.75</v>
      </c>
      <c r="AL190" s="4">
        <v>17.222222222222221</v>
      </c>
      <c r="AM190" s="4">
        <v>23.888888888888889</v>
      </c>
      <c r="AN190" s="9" t="s">
        <v>1186</v>
      </c>
      <c r="AO190" s="256"/>
      <c r="AP190" s="256" t="s">
        <v>1695</v>
      </c>
      <c r="AQ190" s="9"/>
      <c r="AR190" s="9"/>
      <c r="AS190" s="9"/>
      <c r="AT190" s="9"/>
      <c r="AU190" s="309"/>
      <c r="AV190" s="309"/>
      <c r="AW190" s="309"/>
      <c r="AX190" s="309"/>
      <c r="AY190" s="309"/>
      <c r="AZ190" s="309"/>
      <c r="BA190" s="309"/>
      <c r="BB190" s="309"/>
      <c r="BC190" s="309"/>
      <c r="BD190" s="309"/>
      <c r="BE190" s="309"/>
      <c r="BF190" s="309"/>
      <c r="BG190" s="309"/>
      <c r="BH190" s="309"/>
      <c r="BI190" s="309"/>
      <c r="BJ190" s="343"/>
      <c r="BK190" s="324"/>
      <c r="BL190" s="309"/>
      <c r="BM190" s="323"/>
      <c r="BN190" s="309"/>
      <c r="BO190" s="309"/>
      <c r="BP190" s="323"/>
      <c r="BQ190" s="309"/>
      <c r="BR190" s="309"/>
      <c r="BS190" s="323"/>
      <c r="BT190" s="309"/>
      <c r="BU190" s="309"/>
      <c r="BV190" s="323"/>
      <c r="BW190" s="309"/>
      <c r="BX190" s="309"/>
      <c r="BY190" s="309"/>
      <c r="BZ190" s="309"/>
      <c r="CA190" s="309"/>
      <c r="CB190" s="309"/>
      <c r="CC190" s="309"/>
      <c r="CD190" s="309"/>
    </row>
    <row r="191" spans="32:82" ht="45" customHeight="1">
      <c r="AF191" s="264" t="s">
        <v>1379</v>
      </c>
      <c r="AG191" s="722" t="s">
        <v>1205</v>
      </c>
      <c r="AH191" s="9" t="s">
        <v>74</v>
      </c>
      <c r="AI191" s="3">
        <v>0.7</v>
      </c>
      <c r="AJ191" s="3">
        <v>0.76</v>
      </c>
      <c r="AK191" s="3">
        <v>0.73</v>
      </c>
      <c r="AL191" s="4">
        <v>10</v>
      </c>
      <c r="AM191" s="4">
        <v>12.222222222222221</v>
      </c>
      <c r="AN191" s="9" t="s">
        <v>1188</v>
      </c>
      <c r="AO191" s="256"/>
      <c r="AP191" s="256" t="s">
        <v>1694</v>
      </c>
      <c r="AQ191" s="9"/>
      <c r="AR191" s="9"/>
      <c r="AS191" s="9"/>
      <c r="AT191" s="9"/>
      <c r="AU191" s="309"/>
      <c r="AV191" s="309"/>
      <c r="AW191" s="309"/>
      <c r="AX191" s="309"/>
      <c r="AY191" s="309"/>
      <c r="AZ191" s="309"/>
      <c r="BA191" s="309"/>
      <c r="BB191" s="309"/>
      <c r="BC191" s="309"/>
      <c r="BD191" s="309"/>
      <c r="BE191" s="309"/>
      <c r="BF191" s="309"/>
      <c r="BG191" s="309"/>
      <c r="BH191" s="309"/>
      <c r="BI191" s="309"/>
      <c r="BJ191" s="343"/>
      <c r="BK191" s="324"/>
      <c r="BL191" s="309"/>
      <c r="BM191" s="323"/>
      <c r="BN191" s="309"/>
      <c r="BO191" s="309"/>
      <c r="BP191" s="323"/>
      <c r="BQ191" s="309"/>
      <c r="BR191" s="309"/>
      <c r="BS191" s="323"/>
      <c r="BT191" s="309"/>
      <c r="BU191" s="309"/>
      <c r="BV191" s="323"/>
      <c r="BW191" s="309"/>
      <c r="BX191" s="309"/>
      <c r="BY191" s="309"/>
      <c r="BZ191" s="309"/>
      <c r="CA191" s="309"/>
      <c r="CB191" s="309"/>
      <c r="CC191" s="309"/>
      <c r="CD191" s="309"/>
    </row>
    <row r="192" spans="32:82" ht="45" customHeight="1">
      <c r="AF192" s="264" t="s">
        <v>1381</v>
      </c>
      <c r="AG192" s="722" t="s">
        <v>1205</v>
      </c>
      <c r="AH192" s="9" t="s">
        <v>74</v>
      </c>
      <c r="AI192" s="3">
        <v>0.75</v>
      </c>
      <c r="AJ192" s="3">
        <v>0.8</v>
      </c>
      <c r="AK192" s="3">
        <v>0.77500000000000002</v>
      </c>
      <c r="AL192" s="4">
        <v>18.888888888888889</v>
      </c>
      <c r="AM192" s="4">
        <v>21.111111111111111</v>
      </c>
      <c r="AN192" s="9" t="s">
        <v>1196</v>
      </c>
      <c r="AO192" s="256"/>
      <c r="AP192" s="256" t="s">
        <v>1696</v>
      </c>
      <c r="AQ192" s="9"/>
      <c r="AR192" s="9"/>
      <c r="AS192" s="9"/>
      <c r="AT192" s="9"/>
      <c r="AU192" s="309"/>
      <c r="AV192" s="309"/>
      <c r="AW192" s="309"/>
      <c r="AX192" s="309"/>
      <c r="AY192" s="309"/>
      <c r="AZ192" s="309"/>
      <c r="BA192" s="309"/>
      <c r="BB192" s="309"/>
      <c r="BC192" s="309"/>
      <c r="BD192" s="309"/>
      <c r="BE192" s="309"/>
      <c r="BF192" s="309"/>
      <c r="BG192" s="309"/>
      <c r="BH192" s="309"/>
      <c r="BI192" s="309"/>
      <c r="BJ192" s="343"/>
      <c r="BK192" s="324"/>
      <c r="BL192" s="309"/>
      <c r="BM192" s="323"/>
      <c r="BN192" s="309"/>
      <c r="BO192" s="309"/>
      <c r="BP192" s="323"/>
      <c r="BQ192" s="309"/>
      <c r="BR192" s="309"/>
      <c r="BS192" s="323"/>
      <c r="BT192" s="309"/>
      <c r="BU192" s="309"/>
      <c r="BV192" s="323"/>
      <c r="BW192" s="309"/>
      <c r="BX192" s="309"/>
      <c r="BY192" s="309"/>
      <c r="BZ192" s="309"/>
      <c r="CA192" s="309"/>
      <c r="CB192" s="309"/>
      <c r="CC192" s="309"/>
      <c r="CD192" s="309"/>
    </row>
    <row r="193" spans="32:82" ht="45" customHeight="1">
      <c r="AF193" s="264" t="s">
        <v>2568</v>
      </c>
      <c r="AG193" s="722"/>
      <c r="AH193" s="9" t="s">
        <v>74</v>
      </c>
      <c r="AI193" s="3">
        <v>0.79</v>
      </c>
      <c r="AJ193" s="3">
        <v>0.83</v>
      </c>
      <c r="AK193" s="3">
        <f>IFERROR(AVERAGE(AI193,AJ193),"")</f>
        <v>0.81</v>
      </c>
      <c r="AL193" s="4">
        <v>17.7</v>
      </c>
      <c r="AM193" s="4">
        <v>22</v>
      </c>
      <c r="AN193" s="9" t="s">
        <v>73</v>
      </c>
      <c r="AO193" s="256"/>
      <c r="AP193" s="256"/>
      <c r="AQ193" s="9"/>
      <c r="AR193" s="9"/>
      <c r="AS193" s="9"/>
      <c r="AT193" s="9"/>
      <c r="AU193" s="309"/>
      <c r="AV193" s="309"/>
      <c r="AW193" s="309"/>
      <c r="AX193" s="309"/>
      <c r="AY193" s="309"/>
      <c r="AZ193" s="309"/>
      <c r="BA193" s="309"/>
      <c r="BB193" s="309"/>
      <c r="BC193" s="309"/>
      <c r="BD193" s="309"/>
      <c r="BE193" s="309"/>
      <c r="BF193" s="309"/>
      <c r="BG193" s="309"/>
      <c r="BH193" s="309"/>
      <c r="BI193" s="309"/>
      <c r="BJ193" s="343"/>
      <c r="BK193" s="324"/>
      <c r="BL193" s="309"/>
      <c r="BM193" s="323"/>
      <c r="BN193" s="309"/>
      <c r="BO193" s="309"/>
      <c r="BP193" s="323"/>
      <c r="BQ193" s="309"/>
      <c r="BR193" s="309"/>
      <c r="BS193" s="323"/>
      <c r="BT193" s="309"/>
      <c r="BU193" s="309"/>
      <c r="BV193" s="323"/>
      <c r="BW193" s="309"/>
      <c r="BX193" s="309"/>
      <c r="BY193" s="309"/>
      <c r="BZ193" s="309"/>
      <c r="CA193" s="309"/>
      <c r="CB193" s="309"/>
      <c r="CC193" s="309"/>
      <c r="CD193" s="309"/>
    </row>
    <row r="194" spans="32:82" ht="45" customHeight="1">
      <c r="AF194" s="264" t="s">
        <v>1382</v>
      </c>
      <c r="AG194" s="722" t="s">
        <v>1208</v>
      </c>
      <c r="AH194" s="9" t="s">
        <v>74</v>
      </c>
      <c r="AI194" s="3">
        <v>0.73</v>
      </c>
      <c r="AJ194" s="3">
        <v>0.77</v>
      </c>
      <c r="AK194" s="3">
        <v>0.75</v>
      </c>
      <c r="AL194" s="4">
        <v>17.777777777777779</v>
      </c>
      <c r="AM194" s="4">
        <v>23.888888888888889</v>
      </c>
      <c r="AN194" s="9" t="s">
        <v>1198</v>
      </c>
      <c r="AO194" s="256"/>
      <c r="AP194" s="256" t="s">
        <v>1697</v>
      </c>
      <c r="AQ194" s="9"/>
      <c r="AR194" s="9"/>
      <c r="AS194" s="9"/>
      <c r="AT194" s="9"/>
      <c r="AU194" s="309"/>
      <c r="AV194" s="309"/>
      <c r="AW194" s="309"/>
      <c r="AX194" s="309"/>
      <c r="AY194" s="309"/>
      <c r="AZ194" s="309"/>
      <c r="BA194" s="309"/>
      <c r="BB194" s="309"/>
      <c r="BC194" s="309"/>
      <c r="BD194" s="309"/>
      <c r="BE194" s="309"/>
      <c r="BF194" s="309"/>
      <c r="BG194" s="309"/>
      <c r="BH194" s="309"/>
      <c r="BI194" s="309"/>
      <c r="BJ194" s="343"/>
      <c r="BK194" s="324"/>
      <c r="BL194" s="309"/>
      <c r="BM194" s="323"/>
      <c r="BN194" s="309"/>
      <c r="BO194" s="309"/>
      <c r="BP194" s="323"/>
      <c r="BQ194" s="309"/>
      <c r="BR194" s="309"/>
      <c r="BS194" s="323"/>
      <c r="BT194" s="309"/>
      <c r="BU194" s="309"/>
      <c r="BV194" s="323"/>
      <c r="BW194" s="309"/>
      <c r="BX194" s="309"/>
      <c r="BY194" s="309"/>
      <c r="BZ194" s="309"/>
      <c r="CA194" s="309"/>
      <c r="CB194" s="309"/>
      <c r="CC194" s="309"/>
      <c r="CD194" s="309"/>
    </row>
    <row r="195" spans="32:82" ht="45" customHeight="1">
      <c r="AF195" s="264" t="s">
        <v>1383</v>
      </c>
      <c r="AG195" s="722" t="s">
        <v>1205</v>
      </c>
      <c r="AH195" s="9" t="s">
        <v>74</v>
      </c>
      <c r="AI195" s="3">
        <v>0.72</v>
      </c>
      <c r="AJ195" s="3">
        <v>0.76</v>
      </c>
      <c r="AK195" s="3">
        <v>0.74</v>
      </c>
      <c r="AL195" s="4">
        <v>20</v>
      </c>
      <c r="AM195" s="4">
        <v>22.222222222222221</v>
      </c>
      <c r="AN195" s="9" t="s">
        <v>1190</v>
      </c>
      <c r="AO195" s="256"/>
      <c r="AP195" s="256" t="s">
        <v>1698</v>
      </c>
      <c r="AQ195" s="9"/>
      <c r="AR195" s="9"/>
      <c r="AS195" s="9"/>
      <c r="AT195" s="9"/>
      <c r="AU195" s="309"/>
      <c r="AV195" s="309"/>
      <c r="AW195" s="309"/>
      <c r="AX195" s="309"/>
      <c r="AY195" s="309"/>
      <c r="AZ195" s="309"/>
      <c r="BA195" s="309"/>
      <c r="BB195" s="309"/>
      <c r="BC195" s="309"/>
      <c r="BD195" s="309"/>
      <c r="BE195" s="309"/>
      <c r="BF195" s="309"/>
      <c r="BG195" s="309"/>
      <c r="BH195" s="309"/>
      <c r="BI195" s="309"/>
      <c r="BJ195" s="323"/>
      <c r="BK195" s="309"/>
      <c r="BL195" s="309"/>
      <c r="BM195" s="323"/>
      <c r="BN195" s="309"/>
      <c r="BO195" s="309"/>
      <c r="BP195" s="323"/>
      <c r="BQ195" s="309"/>
      <c r="BR195" s="309"/>
      <c r="BS195" s="323"/>
      <c r="BT195" s="309"/>
      <c r="BU195" s="309"/>
      <c r="BV195" s="323"/>
      <c r="BW195" s="309"/>
      <c r="BX195" s="309"/>
      <c r="BY195" s="309"/>
      <c r="BZ195" s="309"/>
      <c r="CA195" s="309"/>
      <c r="CB195" s="309"/>
      <c r="CC195" s="309"/>
      <c r="CD195" s="309"/>
    </row>
    <row r="196" spans="32:82" ht="45" customHeight="1">
      <c r="AF196" s="264" t="s">
        <v>1384</v>
      </c>
      <c r="AG196" s="722" t="s">
        <v>1205</v>
      </c>
      <c r="AH196" s="9" t="s">
        <v>74</v>
      </c>
      <c r="AI196" s="3">
        <v>0.73</v>
      </c>
      <c r="AJ196" s="3">
        <v>0.8</v>
      </c>
      <c r="AK196" s="3">
        <v>0.76500000000000001</v>
      </c>
      <c r="AL196" s="4">
        <v>18.888888888888889</v>
      </c>
      <c r="AM196" s="4">
        <v>21.111111111111111</v>
      </c>
      <c r="AN196" s="9" t="s">
        <v>1198</v>
      </c>
      <c r="AO196" s="256"/>
      <c r="AP196" s="256" t="s">
        <v>1699</v>
      </c>
      <c r="AQ196" s="9"/>
      <c r="AR196" s="9"/>
      <c r="AS196" s="9"/>
      <c r="AT196" s="9"/>
      <c r="AU196" s="309"/>
      <c r="AV196" s="309"/>
      <c r="AW196" s="309"/>
      <c r="AX196" s="309"/>
      <c r="AY196" s="309"/>
      <c r="AZ196" s="309"/>
      <c r="BA196" s="309"/>
      <c r="BB196" s="309"/>
      <c r="BC196" s="309"/>
      <c r="BD196" s="309"/>
      <c r="BE196" s="309"/>
      <c r="BF196" s="309"/>
      <c r="BG196" s="309"/>
      <c r="BH196" s="309"/>
      <c r="BI196" s="309"/>
      <c r="BJ196" s="323"/>
      <c r="BK196" s="309"/>
      <c r="BL196" s="309"/>
      <c r="BM196" s="323"/>
      <c r="BN196" s="309"/>
      <c r="BO196" s="309"/>
      <c r="BP196" s="323"/>
      <c r="BQ196" s="309"/>
      <c r="BR196" s="309"/>
      <c r="BS196" s="323"/>
      <c r="BT196" s="309"/>
      <c r="BU196" s="309"/>
      <c r="BV196" s="323"/>
      <c r="BW196" s="309"/>
      <c r="BX196" s="309"/>
      <c r="BY196" s="309"/>
      <c r="BZ196" s="309"/>
      <c r="CA196" s="309"/>
      <c r="CB196" s="309"/>
      <c r="CC196" s="309"/>
      <c r="CD196" s="309"/>
    </row>
    <row r="197" spans="32:82" ht="45" customHeight="1">
      <c r="AF197" s="264" t="s">
        <v>1385</v>
      </c>
      <c r="AG197" s="722" t="s">
        <v>1213</v>
      </c>
      <c r="AH197" s="9" t="s">
        <v>74</v>
      </c>
      <c r="AI197" s="3">
        <v>0.7</v>
      </c>
      <c r="AJ197" s="3">
        <v>0.74</v>
      </c>
      <c r="AK197" s="3">
        <v>0.72</v>
      </c>
      <c r="AL197" s="4">
        <v>8.8888888888888893</v>
      </c>
      <c r="AM197" s="4">
        <v>13.333333333333334</v>
      </c>
      <c r="AN197" s="9" t="s">
        <v>1188</v>
      </c>
      <c r="AO197" s="256"/>
      <c r="AP197" s="256" t="s">
        <v>1700</v>
      </c>
      <c r="AQ197" s="9"/>
      <c r="AR197" s="9"/>
      <c r="AS197" s="9"/>
      <c r="AT197" s="9"/>
      <c r="AU197" s="309"/>
      <c r="AV197" s="309"/>
      <c r="AW197" s="309"/>
      <c r="AX197" s="309"/>
      <c r="AY197" s="309"/>
      <c r="AZ197" s="309"/>
      <c r="BA197" s="309"/>
      <c r="BB197" s="309"/>
      <c r="BC197" s="309"/>
      <c r="BD197" s="309"/>
      <c r="BE197" s="309"/>
      <c r="BF197" s="309"/>
      <c r="BG197" s="309"/>
      <c r="BH197" s="309"/>
      <c r="BI197" s="309"/>
      <c r="BJ197" s="323"/>
      <c r="BK197" s="309"/>
      <c r="BL197" s="309"/>
      <c r="BM197" s="323"/>
      <c r="BN197" s="309"/>
      <c r="BO197" s="309"/>
      <c r="BP197" s="323"/>
      <c r="BQ197" s="309"/>
      <c r="BR197" s="309"/>
      <c r="BS197" s="323"/>
      <c r="BT197" s="309"/>
      <c r="BU197" s="309"/>
      <c r="BV197" s="323"/>
      <c r="BW197" s="309"/>
      <c r="BX197" s="309"/>
      <c r="BY197" s="309"/>
      <c r="BZ197" s="309"/>
      <c r="CA197" s="309"/>
      <c r="CB197" s="309"/>
      <c r="CC197" s="309"/>
      <c r="CD197" s="309"/>
    </row>
    <row r="198" spans="32:82" ht="45" customHeight="1">
      <c r="AF198" s="264" t="s">
        <v>1386</v>
      </c>
      <c r="AG198" s="722" t="s">
        <v>1205</v>
      </c>
      <c r="AH198" s="9" t="s">
        <v>74</v>
      </c>
      <c r="AI198" s="3">
        <v>0.73</v>
      </c>
      <c r="AJ198" s="3">
        <v>0.82</v>
      </c>
      <c r="AK198" s="3">
        <v>0.77500000000000002</v>
      </c>
      <c r="AL198" s="4">
        <v>16.666666666666668</v>
      </c>
      <c r="AM198" s="4">
        <v>20</v>
      </c>
      <c r="AN198" s="9" t="s">
        <v>1188</v>
      </c>
      <c r="AO198" s="256"/>
      <c r="AP198" s="256" t="s">
        <v>1701</v>
      </c>
      <c r="AQ198" s="9"/>
      <c r="AR198" s="9"/>
      <c r="AS198" s="9"/>
      <c r="AT198" s="9"/>
      <c r="AU198" s="309"/>
      <c r="AV198" s="309"/>
    </row>
    <row r="199" spans="32:82" ht="45" customHeight="1">
      <c r="AF199" s="264" t="s">
        <v>1387</v>
      </c>
      <c r="AG199" s="722" t="s">
        <v>1208</v>
      </c>
      <c r="AH199" s="9" t="s">
        <v>74</v>
      </c>
      <c r="AI199" s="3">
        <v>0.75</v>
      </c>
      <c r="AJ199" s="3">
        <v>0.82</v>
      </c>
      <c r="AK199" s="3">
        <v>0.78500000000000003</v>
      </c>
      <c r="AL199" s="4">
        <v>22.222222222222221</v>
      </c>
      <c r="AM199" s="4">
        <v>36.666666666666664</v>
      </c>
      <c r="AN199" s="9" t="s">
        <v>1186</v>
      </c>
      <c r="AO199" s="256"/>
      <c r="AP199" s="256" t="s">
        <v>1702</v>
      </c>
      <c r="AQ199" s="9"/>
      <c r="AR199" s="9"/>
      <c r="AS199" s="9"/>
      <c r="AT199" s="9"/>
      <c r="AU199" s="309"/>
      <c r="AV199" s="309"/>
    </row>
    <row r="200" spans="32:82" ht="45" customHeight="1">
      <c r="AF200" s="264" t="s">
        <v>1388</v>
      </c>
      <c r="AG200" s="722" t="s">
        <v>1208</v>
      </c>
      <c r="AH200" s="9" t="s">
        <v>74</v>
      </c>
      <c r="AI200" s="3">
        <v>0.75</v>
      </c>
      <c r="AJ200" s="3">
        <v>0.85</v>
      </c>
      <c r="AK200" s="3">
        <v>0.8</v>
      </c>
      <c r="AL200" s="4">
        <v>22.222222222222221</v>
      </c>
      <c r="AM200" s="4">
        <v>36.666666666666664</v>
      </c>
      <c r="AN200" s="9" t="s">
        <v>1196</v>
      </c>
      <c r="AO200" s="256"/>
      <c r="AP200" s="256" t="s">
        <v>1703</v>
      </c>
      <c r="AQ200" s="9"/>
      <c r="AR200" s="9"/>
      <c r="AS200" s="9"/>
      <c r="AT200" s="9"/>
      <c r="AU200" s="309"/>
      <c r="AV200" s="309"/>
    </row>
    <row r="201" spans="32:82" ht="45" customHeight="1">
      <c r="AF201" s="264" t="s">
        <v>2344</v>
      </c>
      <c r="AG201" s="722" t="s">
        <v>2343</v>
      </c>
      <c r="AH201" s="9" t="s">
        <v>74</v>
      </c>
      <c r="AI201" s="3">
        <v>0.65</v>
      </c>
      <c r="AJ201" s="3">
        <v>0.72</v>
      </c>
      <c r="AK201" s="3">
        <f>IFERROR(AVERAGE(AI201,AJ201),"")</f>
        <v>0.68500000000000005</v>
      </c>
      <c r="AL201" s="4">
        <v>20</v>
      </c>
      <c r="AM201" s="4">
        <v>25</v>
      </c>
      <c r="AN201" s="9" t="s">
        <v>1188</v>
      </c>
      <c r="AO201" s="256" t="s">
        <v>2339</v>
      </c>
      <c r="AP201" s="256" t="s">
        <v>2338</v>
      </c>
      <c r="AQ201" s="9"/>
      <c r="AR201" s="263"/>
      <c r="AS201" s="9"/>
      <c r="AT201" s="9"/>
      <c r="AU201" s="309"/>
      <c r="AV201" s="309"/>
    </row>
    <row r="202" spans="32:82" ht="45" customHeight="1">
      <c r="AF202" s="264" t="s">
        <v>1389</v>
      </c>
      <c r="AG202" s="722" t="s">
        <v>1213</v>
      </c>
      <c r="AH202" s="9" t="s">
        <v>74</v>
      </c>
      <c r="AI202" s="3">
        <v>0.71</v>
      </c>
      <c r="AJ202" s="3">
        <v>0.75</v>
      </c>
      <c r="AK202" s="3">
        <v>0.73</v>
      </c>
      <c r="AL202" s="4">
        <v>16.666666666666668</v>
      </c>
      <c r="AM202" s="4">
        <v>22.222222222222221</v>
      </c>
      <c r="AN202" s="9" t="s">
        <v>1188</v>
      </c>
      <c r="AO202" s="256"/>
      <c r="AP202" s="256" t="s">
        <v>1704</v>
      </c>
      <c r="AQ202" s="9"/>
      <c r="AR202" s="9"/>
      <c r="AS202" s="9"/>
      <c r="AT202" s="9"/>
      <c r="AU202" s="309"/>
      <c r="AV202" s="309"/>
    </row>
    <row r="203" spans="32:82" ht="45" customHeight="1">
      <c r="AF203" s="264" t="s">
        <v>1389</v>
      </c>
      <c r="AG203" s="722"/>
      <c r="AH203" s="9" t="s">
        <v>74</v>
      </c>
      <c r="AI203" s="3">
        <v>0.71</v>
      </c>
      <c r="AJ203" s="3">
        <v>0.75</v>
      </c>
      <c r="AK203" s="3">
        <f>IFERROR(AVERAGE(AI203,AJ203),"")</f>
        <v>0.73</v>
      </c>
      <c r="AL203" s="4">
        <v>16.7</v>
      </c>
      <c r="AM203" s="4">
        <v>22.2</v>
      </c>
      <c r="AN203" s="9" t="s">
        <v>73</v>
      </c>
      <c r="AO203" s="256"/>
      <c r="AP203" s="256"/>
      <c r="AQ203" s="9"/>
      <c r="AR203" s="9"/>
      <c r="AS203" s="9"/>
      <c r="AT203" s="9"/>
      <c r="AU203" s="309"/>
      <c r="AV203" s="309"/>
    </row>
    <row r="204" spans="32:82" ht="45" customHeight="1">
      <c r="AF204" s="264" t="s">
        <v>1390</v>
      </c>
      <c r="AG204" s="722" t="s">
        <v>1208</v>
      </c>
      <c r="AH204" s="9" t="s">
        <v>74</v>
      </c>
      <c r="AI204" s="3">
        <v>0.69</v>
      </c>
      <c r="AJ204" s="3">
        <v>0.75</v>
      </c>
      <c r="AK204" s="3">
        <v>0.72</v>
      </c>
      <c r="AL204" s="4">
        <v>16.666666666666668</v>
      </c>
      <c r="AM204" s="4">
        <v>22.222222222222221</v>
      </c>
      <c r="AN204" s="9" t="s">
        <v>1188</v>
      </c>
      <c r="AO204" s="256"/>
      <c r="AP204" s="256" t="s">
        <v>1705</v>
      </c>
      <c r="AQ204" s="9"/>
      <c r="AR204" s="9"/>
      <c r="AS204" s="9"/>
      <c r="AT204" s="9"/>
      <c r="AU204" s="309"/>
      <c r="AV204" s="309"/>
    </row>
    <row r="205" spans="32:82" ht="45" customHeight="1">
      <c r="AF205" s="264" t="s">
        <v>1391</v>
      </c>
      <c r="AG205" s="722" t="s">
        <v>1205</v>
      </c>
      <c r="AH205" s="9" t="s">
        <v>74</v>
      </c>
      <c r="AI205" s="3">
        <v>0.69</v>
      </c>
      <c r="AJ205" s="3">
        <v>0.74</v>
      </c>
      <c r="AK205" s="3">
        <v>0.71499999999999997</v>
      </c>
      <c r="AL205" s="4">
        <v>18.333333333333332</v>
      </c>
      <c r="AM205" s="4">
        <v>20</v>
      </c>
      <c r="AN205" s="9" t="s">
        <v>1196</v>
      </c>
      <c r="AO205" s="256"/>
      <c r="AP205" s="256" t="s">
        <v>1706</v>
      </c>
      <c r="AQ205" s="9"/>
      <c r="AR205" s="9"/>
      <c r="AS205" s="9"/>
      <c r="AT205" s="9"/>
      <c r="AU205" s="309"/>
      <c r="AV205" s="309"/>
    </row>
    <row r="206" spans="32:82" ht="45" customHeight="1">
      <c r="AF206" s="264" t="s">
        <v>1392</v>
      </c>
      <c r="AG206" s="722" t="s">
        <v>1208</v>
      </c>
      <c r="AH206" s="9" t="s">
        <v>74</v>
      </c>
      <c r="AI206" s="3">
        <v>0.8</v>
      </c>
      <c r="AJ206" s="3">
        <v>0.85</v>
      </c>
      <c r="AK206" s="3">
        <v>0.82499999999999996</v>
      </c>
      <c r="AL206" s="4">
        <v>21.111111111111111</v>
      </c>
      <c r="AM206" s="4">
        <v>35</v>
      </c>
      <c r="AN206" s="9" t="s">
        <v>1190</v>
      </c>
      <c r="AO206" s="256"/>
      <c r="AP206" s="256" t="s">
        <v>1707</v>
      </c>
      <c r="AQ206" s="9"/>
      <c r="AR206" s="9"/>
      <c r="AS206" s="9"/>
      <c r="AT206" s="9"/>
      <c r="AU206" s="309"/>
      <c r="AV206" s="309"/>
    </row>
    <row r="207" spans="32:82" ht="45" customHeight="1">
      <c r="AF207" s="264" t="s">
        <v>1393</v>
      </c>
      <c r="AG207" s="722" t="s">
        <v>1236</v>
      </c>
      <c r="AH207" s="9" t="s">
        <v>74</v>
      </c>
      <c r="AI207" s="3"/>
      <c r="AJ207" s="3"/>
      <c r="AK207" s="3">
        <v>0.75</v>
      </c>
      <c r="AL207" s="4">
        <v>7.7777777777777777</v>
      </c>
      <c r="AM207" s="4">
        <v>12.222222222222221</v>
      </c>
      <c r="AN207" s="9" t="s">
        <v>1186</v>
      </c>
      <c r="AO207" s="256"/>
      <c r="AP207" s="256" t="s">
        <v>1708</v>
      </c>
      <c r="AQ207" s="9"/>
      <c r="AR207" s="9"/>
      <c r="AS207" s="9"/>
      <c r="AT207" s="9"/>
      <c r="AU207" s="309"/>
      <c r="AV207" s="309"/>
    </row>
    <row r="208" spans="32:82" ht="45" customHeight="1">
      <c r="AF208" s="264" t="s">
        <v>1394</v>
      </c>
      <c r="AG208" s="722" t="s">
        <v>1205</v>
      </c>
      <c r="AH208" s="9" t="s">
        <v>74</v>
      </c>
      <c r="AI208" s="3">
        <v>0.75</v>
      </c>
      <c r="AJ208" s="3">
        <v>0.8</v>
      </c>
      <c r="AK208" s="3">
        <v>0.77500000000000002</v>
      </c>
      <c r="AL208" s="4">
        <v>22.222222222222221</v>
      </c>
      <c r="AM208" s="4">
        <v>25</v>
      </c>
      <c r="AN208" s="9" t="s">
        <v>1188</v>
      </c>
      <c r="AO208" s="256"/>
      <c r="AP208" s="256" t="s">
        <v>1709</v>
      </c>
      <c r="AQ208" s="9"/>
      <c r="AR208" s="9"/>
      <c r="AS208" s="9"/>
      <c r="AT208" s="9"/>
      <c r="AU208" s="309"/>
      <c r="AV208" s="309"/>
    </row>
    <row r="209" spans="32:67" ht="45" customHeight="1">
      <c r="AF209" s="264" t="s">
        <v>1395</v>
      </c>
      <c r="AG209" s="722" t="s">
        <v>1205</v>
      </c>
      <c r="AH209" s="9" t="s">
        <v>74</v>
      </c>
      <c r="AI209" s="3">
        <v>0.66</v>
      </c>
      <c r="AJ209" s="3">
        <v>0.74</v>
      </c>
      <c r="AK209" s="3">
        <v>0.7</v>
      </c>
      <c r="AL209" s="4">
        <v>18.888888888888889</v>
      </c>
      <c r="AM209" s="4">
        <v>21.111111111111111</v>
      </c>
      <c r="AN209" s="9" t="s">
        <v>1188</v>
      </c>
      <c r="AO209" s="256"/>
      <c r="AP209" s="256" t="s">
        <v>1710</v>
      </c>
      <c r="AQ209" s="9"/>
      <c r="AR209" s="9"/>
      <c r="AS209" s="9"/>
      <c r="AT209" s="9"/>
      <c r="AU209" s="309"/>
      <c r="AV209" s="309"/>
    </row>
    <row r="210" spans="32:67" ht="45" customHeight="1">
      <c r="AF210" s="264" t="s">
        <v>1396</v>
      </c>
      <c r="AG210" s="722" t="s">
        <v>1213</v>
      </c>
      <c r="AH210" s="9" t="s">
        <v>74</v>
      </c>
      <c r="AI210" s="3">
        <v>0.73</v>
      </c>
      <c r="AJ210" s="3">
        <v>0.77</v>
      </c>
      <c r="AK210" s="3">
        <v>0.75</v>
      </c>
      <c r="AL210" s="4">
        <v>13.333333333333334</v>
      </c>
      <c r="AM210" s="4">
        <v>21.111111111111111</v>
      </c>
      <c r="AN210" s="9" t="s">
        <v>1198</v>
      </c>
      <c r="AO210" s="256"/>
      <c r="AP210" s="256" t="s">
        <v>1711</v>
      </c>
      <c r="AQ210" s="9"/>
      <c r="AR210" s="9"/>
      <c r="AS210" s="9"/>
      <c r="AT210" s="9"/>
      <c r="AU210" s="309"/>
      <c r="AV210" s="309"/>
      <c r="BM210" s="319" t="s">
        <v>1079</v>
      </c>
      <c r="BN210" s="12" t="s">
        <v>1086</v>
      </c>
      <c r="BO210" s="12" t="s">
        <v>1087</v>
      </c>
    </row>
    <row r="211" spans="32:67" ht="45" customHeight="1">
      <c r="AF211" s="264" t="s">
        <v>1397</v>
      </c>
      <c r="AG211" s="722" t="s">
        <v>1208</v>
      </c>
      <c r="AH211" s="9" t="s">
        <v>74</v>
      </c>
      <c r="AI211" s="3">
        <v>0.72</v>
      </c>
      <c r="AJ211" s="3">
        <v>0.78</v>
      </c>
      <c r="AK211" s="3">
        <v>0.75</v>
      </c>
      <c r="AL211" s="4">
        <v>18.333333333333332</v>
      </c>
      <c r="AM211" s="4">
        <v>20.555555555555557</v>
      </c>
      <c r="AN211" s="9" t="s">
        <v>1188</v>
      </c>
      <c r="AO211" s="256"/>
      <c r="AP211" s="256" t="s">
        <v>1712</v>
      </c>
      <c r="AQ211" s="9"/>
      <c r="AR211" s="9"/>
      <c r="AS211" s="9"/>
      <c r="AT211" s="9"/>
      <c r="AU211" s="309"/>
      <c r="AV211" s="309"/>
      <c r="BM211" s="319" t="s">
        <v>1080</v>
      </c>
      <c r="BN211" s="12" t="s">
        <v>1088</v>
      </c>
      <c r="BO211" s="12" t="s">
        <v>1089</v>
      </c>
    </row>
    <row r="212" spans="32:67" ht="45" customHeight="1">
      <c r="AF212" s="264" t="s">
        <v>1398</v>
      </c>
      <c r="AG212" s="722" t="s">
        <v>1213</v>
      </c>
      <c r="AH212" s="9" t="s">
        <v>74</v>
      </c>
      <c r="AI212" s="3">
        <v>0.73</v>
      </c>
      <c r="AJ212" s="3">
        <v>0.77</v>
      </c>
      <c r="AK212" s="3">
        <v>0.75</v>
      </c>
      <c r="AL212" s="4">
        <v>13.333333333333334</v>
      </c>
      <c r="AM212" s="4">
        <v>21.111111111111111</v>
      </c>
      <c r="AN212" s="9" t="s">
        <v>1198</v>
      </c>
      <c r="AO212" s="256"/>
      <c r="AP212" s="256" t="s">
        <v>1713</v>
      </c>
      <c r="AQ212" s="9"/>
      <c r="AR212" s="9"/>
      <c r="AS212" s="9"/>
      <c r="AT212" s="9"/>
      <c r="AU212" s="309"/>
      <c r="AV212" s="309"/>
      <c r="BM212" s="319" t="s">
        <v>1081</v>
      </c>
      <c r="BN212" s="12" t="s">
        <v>1090</v>
      </c>
      <c r="BO212" s="12" t="s">
        <v>1091</v>
      </c>
    </row>
    <row r="213" spans="32:67" ht="45" customHeight="1">
      <c r="AF213" s="264" t="s">
        <v>1399</v>
      </c>
      <c r="AG213" s="722" t="s">
        <v>1236</v>
      </c>
      <c r="AH213" s="9" t="s">
        <v>74</v>
      </c>
      <c r="AI213" s="3"/>
      <c r="AJ213" s="3"/>
      <c r="AK213" s="3">
        <v>0.76500000000000001</v>
      </c>
      <c r="AL213" s="4">
        <v>14.444444444444445</v>
      </c>
      <c r="AM213" s="4">
        <v>18.888888888888889</v>
      </c>
      <c r="AN213" s="9" t="s">
        <v>1186</v>
      </c>
      <c r="AO213" s="256"/>
      <c r="AP213" s="256" t="s">
        <v>1714</v>
      </c>
      <c r="AQ213" s="9"/>
      <c r="AR213" s="9"/>
      <c r="AS213" s="9"/>
      <c r="AT213" s="9"/>
      <c r="AU213" s="309"/>
      <c r="AV213" s="309"/>
      <c r="BM213" s="319" t="s">
        <v>1082</v>
      </c>
      <c r="BN213" s="12" t="s">
        <v>1092</v>
      </c>
      <c r="BO213" s="12" t="s">
        <v>1093</v>
      </c>
    </row>
    <row r="214" spans="32:67" ht="45" customHeight="1">
      <c r="AF214" s="264" t="s">
        <v>1400</v>
      </c>
      <c r="AG214" s="722" t="s">
        <v>1205</v>
      </c>
      <c r="AH214" s="9" t="s">
        <v>74</v>
      </c>
      <c r="AI214" s="3"/>
      <c r="AJ214" s="3"/>
      <c r="AK214" s="3"/>
      <c r="AL214" s="4">
        <v>-17.777777777777779</v>
      </c>
      <c r="AM214" s="4">
        <v>-17.777777777777779</v>
      </c>
      <c r="AN214" s="9"/>
      <c r="AO214" s="256"/>
      <c r="AP214" s="256" t="s">
        <v>1715</v>
      </c>
      <c r="AQ214" s="9"/>
      <c r="AR214" s="9"/>
      <c r="AS214" s="9"/>
      <c r="AT214" s="9"/>
      <c r="AU214" s="309"/>
      <c r="AV214" s="309"/>
    </row>
    <row r="215" spans="32:67" ht="45" customHeight="1">
      <c r="AF215" s="264" t="s">
        <v>1906</v>
      </c>
      <c r="AG215" s="722" t="s">
        <v>1905</v>
      </c>
      <c r="AH215" s="9" t="s">
        <v>72</v>
      </c>
      <c r="AI215" s="3">
        <v>0.73</v>
      </c>
      <c r="AJ215" s="3">
        <v>0.8</v>
      </c>
      <c r="AK215" s="3"/>
      <c r="AL215" s="4">
        <v>28</v>
      </c>
      <c r="AM215" s="4">
        <v>37</v>
      </c>
      <c r="AN215" s="9" t="s">
        <v>1186</v>
      </c>
      <c r="AO215" s="256"/>
      <c r="AP215" s="256" t="s">
        <v>1904</v>
      </c>
      <c r="AQ215" s="9"/>
      <c r="AR215" s="9">
        <v>14</v>
      </c>
      <c r="AS215" s="9"/>
      <c r="AT215" s="9"/>
      <c r="AU215" s="309"/>
      <c r="AV215" s="309"/>
      <c r="BM215" s="319" t="s">
        <v>1150</v>
      </c>
      <c r="BN215" s="12" t="s">
        <v>1094</v>
      </c>
    </row>
    <row r="216" spans="32:67" ht="45" customHeight="1">
      <c r="AF216" s="264" t="s">
        <v>1914</v>
      </c>
      <c r="AG216" s="722" t="s">
        <v>1908</v>
      </c>
      <c r="AH216" s="9" t="s">
        <v>72</v>
      </c>
      <c r="AI216" s="3"/>
      <c r="AJ216" s="3"/>
      <c r="AK216" s="3"/>
      <c r="AL216" s="4">
        <v>15</v>
      </c>
      <c r="AM216" s="4">
        <v>40</v>
      </c>
      <c r="AN216" s="9"/>
      <c r="AO216" s="256"/>
      <c r="AP216" s="256" t="s">
        <v>1913</v>
      </c>
      <c r="AQ216" s="9"/>
      <c r="AR216" s="9"/>
      <c r="AS216" s="9"/>
      <c r="AT216" s="9"/>
      <c r="AU216" s="309"/>
      <c r="AV216" s="309"/>
      <c r="BM216" s="319" t="s">
        <v>1083</v>
      </c>
      <c r="BN216" s="12" t="s">
        <v>1095</v>
      </c>
      <c r="BO216" s="12" t="s">
        <v>1096</v>
      </c>
    </row>
    <row r="217" spans="32:67" ht="45" customHeight="1">
      <c r="AF217" s="264" t="s">
        <v>1910</v>
      </c>
      <c r="AG217" s="722" t="s">
        <v>1908</v>
      </c>
      <c r="AH217" s="9" t="s">
        <v>72</v>
      </c>
      <c r="AI217" s="3"/>
      <c r="AJ217" s="3"/>
      <c r="AK217" s="3"/>
      <c r="AL217" s="4">
        <v>15</v>
      </c>
      <c r="AM217" s="4">
        <v>38</v>
      </c>
      <c r="AN217" s="9"/>
      <c r="AO217" s="256"/>
      <c r="AP217" s="256" t="s">
        <v>1911</v>
      </c>
      <c r="AQ217" s="9"/>
      <c r="AR217" s="9"/>
      <c r="AS217" s="9"/>
      <c r="AT217" s="9"/>
      <c r="AU217" s="309"/>
      <c r="AV217" s="309"/>
      <c r="BM217" s="319" t="s">
        <v>1076</v>
      </c>
      <c r="BN217" s="12" t="s">
        <v>1097</v>
      </c>
      <c r="BO217" s="12" t="s">
        <v>1098</v>
      </c>
    </row>
    <row r="218" spans="32:67" ht="45" customHeight="1">
      <c r="AF218" s="264" t="s">
        <v>1907</v>
      </c>
      <c r="AG218" s="722" t="s">
        <v>1908</v>
      </c>
      <c r="AH218" s="9" t="s">
        <v>72</v>
      </c>
      <c r="AI218" s="3">
        <v>0.72</v>
      </c>
      <c r="AJ218" s="3">
        <v>0.78</v>
      </c>
      <c r="AK218" s="3">
        <v>0.75</v>
      </c>
      <c r="AL218" s="4">
        <v>12</v>
      </c>
      <c r="AM218" s="4">
        <v>38</v>
      </c>
      <c r="AN218" s="9"/>
      <c r="AO218" s="256"/>
      <c r="AP218" s="256" t="s">
        <v>1909</v>
      </c>
      <c r="AQ218" s="9"/>
      <c r="AR218" s="9"/>
      <c r="AS218" s="9"/>
      <c r="AT218" s="9"/>
      <c r="AU218" s="309"/>
      <c r="AV218" s="309"/>
      <c r="BM218" s="319" t="s">
        <v>1077</v>
      </c>
      <c r="BN218" s="12" t="s">
        <v>1099</v>
      </c>
      <c r="BO218" s="12" t="s">
        <v>1100</v>
      </c>
    </row>
    <row r="219" spans="32:67" ht="45" customHeight="1">
      <c r="AF219" s="264" t="s">
        <v>1915</v>
      </c>
      <c r="AG219" s="722" t="s">
        <v>1908</v>
      </c>
      <c r="AH219" s="9" t="s">
        <v>72</v>
      </c>
      <c r="AI219" s="3">
        <v>0.75</v>
      </c>
      <c r="AJ219" s="3">
        <v>0.8</v>
      </c>
      <c r="AK219" s="3">
        <v>0.77</v>
      </c>
      <c r="AL219" s="4">
        <v>15</v>
      </c>
      <c r="AM219" s="4">
        <v>38</v>
      </c>
      <c r="AN219" s="9"/>
      <c r="AO219" s="256"/>
      <c r="AP219" s="256" t="s">
        <v>1912</v>
      </c>
      <c r="AQ219" s="9"/>
      <c r="AR219" s="9"/>
      <c r="AS219" s="9"/>
      <c r="AT219" s="9"/>
      <c r="AU219" s="309"/>
      <c r="AV219" s="309"/>
      <c r="BM219" s="319" t="s">
        <v>1078</v>
      </c>
      <c r="BN219" s="12" t="s">
        <v>1101</v>
      </c>
      <c r="BO219" s="12" t="s">
        <v>1102</v>
      </c>
    </row>
    <row r="220" spans="32:67" ht="45" customHeight="1">
      <c r="AF220" s="264" t="s">
        <v>1916</v>
      </c>
      <c r="AG220" s="722" t="s">
        <v>1203</v>
      </c>
      <c r="AH220" s="9" t="s">
        <v>72</v>
      </c>
      <c r="AI220" s="3"/>
      <c r="AJ220" s="3"/>
      <c r="AK220" s="3" t="str">
        <f>IFERROR(AVERAGE(AI220,AJ220),"")</f>
        <v/>
      </c>
      <c r="AL220" s="4">
        <v>25</v>
      </c>
      <c r="AM220" s="4">
        <v>40</v>
      </c>
      <c r="AN220" s="9" t="s">
        <v>1186</v>
      </c>
      <c r="AO220" s="256"/>
      <c r="AP220" s="256" t="s">
        <v>1917</v>
      </c>
      <c r="AQ220" s="9"/>
      <c r="AR220" s="263">
        <v>12</v>
      </c>
      <c r="AS220" s="9"/>
      <c r="AT220" s="9"/>
      <c r="AU220" s="309"/>
      <c r="AV220" s="309"/>
      <c r="BM220" s="319" t="s">
        <v>1079</v>
      </c>
      <c r="BN220" s="12" t="s">
        <v>1103</v>
      </c>
      <c r="BO220" s="12" t="s">
        <v>1104</v>
      </c>
    </row>
    <row r="221" spans="32:67" ht="45" customHeight="1">
      <c r="AF221" s="264" t="s">
        <v>1401</v>
      </c>
      <c r="AG221" s="722" t="s">
        <v>1185</v>
      </c>
      <c r="AH221" s="9" t="s">
        <v>74</v>
      </c>
      <c r="AI221" s="3">
        <v>0.71</v>
      </c>
      <c r="AJ221" s="3">
        <v>0.75</v>
      </c>
      <c r="AK221" s="3">
        <v>0.73</v>
      </c>
      <c r="AL221" s="4">
        <v>12.777777777777779</v>
      </c>
      <c r="AM221" s="4">
        <v>18.333333333333332</v>
      </c>
      <c r="AN221" s="9" t="s">
        <v>1196</v>
      </c>
      <c r="AO221" s="256"/>
      <c r="AP221" s="256" t="s">
        <v>1716</v>
      </c>
      <c r="AQ221" s="9"/>
      <c r="AR221" s="9"/>
      <c r="AS221" s="9"/>
      <c r="AT221" s="9"/>
      <c r="AU221" s="309"/>
      <c r="AV221" s="309"/>
      <c r="BM221" s="319" t="s">
        <v>1080</v>
      </c>
      <c r="BN221" s="12" t="s">
        <v>1105</v>
      </c>
      <c r="BO221" s="12" t="s">
        <v>1106</v>
      </c>
    </row>
    <row r="222" spans="32:67" ht="45" customHeight="1">
      <c r="AF222" s="264" t="s">
        <v>1402</v>
      </c>
      <c r="AG222" s="722" t="s">
        <v>1185</v>
      </c>
      <c r="AH222" s="9" t="s">
        <v>74</v>
      </c>
      <c r="AI222" s="3">
        <v>0.73</v>
      </c>
      <c r="AJ222" s="3">
        <v>0.77</v>
      </c>
      <c r="AK222" s="3">
        <v>0.75</v>
      </c>
      <c r="AL222" s="4">
        <v>7.7777777777777777</v>
      </c>
      <c r="AM222" s="4">
        <v>13.333333333333334</v>
      </c>
      <c r="AN222" s="9" t="s">
        <v>1190</v>
      </c>
      <c r="AO222" s="256"/>
      <c r="AP222" s="256" t="s">
        <v>1717</v>
      </c>
      <c r="AQ222" s="9"/>
      <c r="AR222" s="9"/>
      <c r="AS222" s="9"/>
      <c r="AT222" s="9"/>
      <c r="AU222" s="309"/>
      <c r="AV222" s="309"/>
      <c r="BM222" s="319" t="s">
        <v>1081</v>
      </c>
      <c r="BN222" s="12" t="s">
        <v>1107</v>
      </c>
      <c r="BO222" s="12" t="s">
        <v>1108</v>
      </c>
    </row>
    <row r="223" spans="32:67" ht="45" customHeight="1">
      <c r="AF223" s="264" t="s">
        <v>1403</v>
      </c>
      <c r="AG223" s="722" t="s">
        <v>1185</v>
      </c>
      <c r="AH223" s="9" t="s">
        <v>74</v>
      </c>
      <c r="AI223" s="3">
        <v>0.7</v>
      </c>
      <c r="AJ223" s="3">
        <v>0.74</v>
      </c>
      <c r="AK223" s="3">
        <v>0.72</v>
      </c>
      <c r="AL223" s="4">
        <v>10</v>
      </c>
      <c r="AM223" s="4">
        <v>15.555555555555555</v>
      </c>
      <c r="AN223" s="9" t="s">
        <v>1188</v>
      </c>
      <c r="AO223" s="256"/>
      <c r="AP223" s="256" t="s">
        <v>1718</v>
      </c>
      <c r="AQ223" s="9"/>
      <c r="AR223" s="9"/>
      <c r="AS223" s="9"/>
      <c r="AT223" s="9"/>
      <c r="AU223" s="309"/>
      <c r="AV223" s="309"/>
      <c r="BM223" s="319" t="s">
        <v>1082</v>
      </c>
      <c r="BN223" s="12" t="s">
        <v>1109</v>
      </c>
      <c r="BO223" s="12" t="s">
        <v>1110</v>
      </c>
    </row>
    <row r="224" spans="32:67" ht="45" customHeight="1">
      <c r="AF224" s="264" t="s">
        <v>1404</v>
      </c>
      <c r="AG224" s="722" t="s">
        <v>1185</v>
      </c>
      <c r="AH224" s="9" t="s">
        <v>74</v>
      </c>
      <c r="AI224" s="3">
        <v>0.71</v>
      </c>
      <c r="AJ224" s="3">
        <v>0.75</v>
      </c>
      <c r="AK224" s="3">
        <v>0.73</v>
      </c>
      <c r="AL224" s="4">
        <v>11.111111111111111</v>
      </c>
      <c r="AM224" s="4">
        <v>14.444444444444445</v>
      </c>
      <c r="AN224" s="9" t="s">
        <v>1188</v>
      </c>
      <c r="AO224" s="256"/>
      <c r="AP224" s="256" t="s">
        <v>1719</v>
      </c>
      <c r="AQ224" s="9"/>
      <c r="AR224" s="9"/>
      <c r="AS224" s="9"/>
      <c r="AT224" s="9"/>
      <c r="AU224" s="309"/>
      <c r="AV224" s="309"/>
      <c r="BM224" s="319" t="s">
        <v>1146</v>
      </c>
      <c r="BN224" s="12" t="s">
        <v>1111</v>
      </c>
      <c r="BO224" s="12" t="s">
        <v>1112</v>
      </c>
    </row>
    <row r="225" spans="32:67" ht="45" customHeight="1">
      <c r="AF225" s="264" t="s">
        <v>1405</v>
      </c>
      <c r="AG225" s="722" t="s">
        <v>1213</v>
      </c>
      <c r="AH225" s="9" t="s">
        <v>74</v>
      </c>
      <c r="AI225" s="3"/>
      <c r="AJ225" s="3"/>
      <c r="AK225" s="3"/>
      <c r="AL225" s="4">
        <v>15.555555555555555</v>
      </c>
      <c r="AM225" s="4">
        <v>35</v>
      </c>
      <c r="AN225" s="9"/>
      <c r="AO225" s="256"/>
      <c r="AP225" s="256" t="s">
        <v>1720</v>
      </c>
      <c r="AQ225" s="9"/>
      <c r="AR225" s="9"/>
      <c r="AS225" s="9"/>
      <c r="AT225" s="9"/>
      <c r="AU225" s="309"/>
      <c r="AV225" s="309"/>
      <c r="BM225" s="319" t="s">
        <v>1147</v>
      </c>
      <c r="BN225" s="12" t="s">
        <v>1113</v>
      </c>
      <c r="BO225" s="12" t="s">
        <v>1114</v>
      </c>
    </row>
    <row r="226" spans="32:67" ht="45" customHeight="1">
      <c r="AF226" s="264" t="s">
        <v>1406</v>
      </c>
      <c r="AG226" s="722" t="s">
        <v>1205</v>
      </c>
      <c r="AH226" s="9" t="s">
        <v>74</v>
      </c>
      <c r="AI226" s="3">
        <v>0</v>
      </c>
      <c r="AJ226" s="3">
        <v>0</v>
      </c>
      <c r="AK226" s="3"/>
      <c r="AL226" s="4">
        <v>-17.777777777777779</v>
      </c>
      <c r="AM226" s="4">
        <v>-17.777777777777779</v>
      </c>
      <c r="AN226" s="9" t="s">
        <v>1198</v>
      </c>
      <c r="AO226" s="256"/>
      <c r="AP226" s="256" t="s">
        <v>1721</v>
      </c>
      <c r="AQ226" s="9"/>
      <c r="AR226" s="9"/>
      <c r="AS226" s="9"/>
      <c r="AT226" s="9"/>
      <c r="AU226" s="309"/>
      <c r="AV226" s="309"/>
    </row>
    <row r="227" spans="32:67" ht="45" customHeight="1">
      <c r="AF227" s="264" t="s">
        <v>1407</v>
      </c>
      <c r="AG227" s="722" t="s">
        <v>1205</v>
      </c>
      <c r="AH227" s="9" t="s">
        <v>74</v>
      </c>
      <c r="AI227" s="3">
        <v>0</v>
      </c>
      <c r="AJ227" s="3">
        <v>0</v>
      </c>
      <c r="AK227" s="3"/>
      <c r="AL227" s="4">
        <v>-17.777777777777779</v>
      </c>
      <c r="AM227" s="4">
        <v>-17.777777777777779</v>
      </c>
      <c r="AN227" s="9"/>
      <c r="AO227" s="256"/>
      <c r="AP227" s="256" t="s">
        <v>1722</v>
      </c>
      <c r="AQ227" s="9"/>
      <c r="AR227" s="9"/>
      <c r="AS227" s="9"/>
      <c r="AT227" s="9"/>
      <c r="AU227" s="309"/>
      <c r="AV227" s="309"/>
      <c r="BM227" s="319" t="s">
        <v>1151</v>
      </c>
      <c r="BN227" s="12" t="s">
        <v>1115</v>
      </c>
    </row>
    <row r="228" spans="32:67" ht="45" customHeight="1">
      <c r="AF228" s="264" t="s">
        <v>1408</v>
      </c>
      <c r="AG228" s="722" t="s">
        <v>1205</v>
      </c>
      <c r="AH228" s="9" t="s">
        <v>74</v>
      </c>
      <c r="AI228" s="3">
        <v>0</v>
      </c>
      <c r="AJ228" s="3">
        <v>0</v>
      </c>
      <c r="AK228" s="3"/>
      <c r="AL228" s="4">
        <v>21.111111111111111</v>
      </c>
      <c r="AM228" s="4">
        <v>23.888888888888889</v>
      </c>
      <c r="AN228" s="9" t="s">
        <v>1409</v>
      </c>
      <c r="AO228" s="256"/>
      <c r="AP228" s="256" t="s">
        <v>1723</v>
      </c>
      <c r="AQ228" s="9"/>
      <c r="AR228" s="9"/>
      <c r="AS228" s="9"/>
      <c r="AT228" s="9"/>
      <c r="AU228" s="309"/>
      <c r="AV228" s="309"/>
      <c r="BM228" s="319" t="s">
        <v>1083</v>
      </c>
      <c r="BN228" s="12" t="s">
        <v>1116</v>
      </c>
      <c r="BO228" s="12" t="s">
        <v>1117</v>
      </c>
    </row>
    <row r="229" spans="32:67" ht="45" customHeight="1">
      <c r="AF229" s="264" t="s">
        <v>1410</v>
      </c>
      <c r="AG229" s="722" t="s">
        <v>1205</v>
      </c>
      <c r="AH229" s="9" t="s">
        <v>74</v>
      </c>
      <c r="AI229" s="3"/>
      <c r="AJ229" s="3"/>
      <c r="AK229" s="3"/>
      <c r="AL229" s="4">
        <v>-17.777777777777779</v>
      </c>
      <c r="AM229" s="4">
        <v>-17.777777777777779</v>
      </c>
      <c r="AN229" s="9"/>
      <c r="AO229" s="256"/>
      <c r="AP229" s="256" t="s">
        <v>1724</v>
      </c>
      <c r="AQ229" s="9"/>
      <c r="AR229" s="9"/>
      <c r="AS229" s="9"/>
      <c r="AT229" s="9"/>
      <c r="AU229" s="309"/>
      <c r="AV229" s="309"/>
      <c r="BM229" s="319" t="s">
        <v>1076</v>
      </c>
      <c r="BN229" s="12" t="s">
        <v>1118</v>
      </c>
      <c r="BO229" s="12" t="s">
        <v>1119</v>
      </c>
    </row>
    <row r="230" spans="32:67" ht="45" customHeight="1">
      <c r="AF230" s="264" t="s">
        <v>1411</v>
      </c>
      <c r="AG230" s="722" t="s">
        <v>1205</v>
      </c>
      <c r="AH230" s="9" t="s">
        <v>74</v>
      </c>
      <c r="AI230" s="3"/>
      <c r="AJ230" s="3"/>
      <c r="AK230" s="3"/>
      <c r="AL230" s="4">
        <v>-17.777777777777779</v>
      </c>
      <c r="AM230" s="4">
        <v>-17.777777777777779</v>
      </c>
      <c r="AN230" s="9"/>
      <c r="AO230" s="256"/>
      <c r="AP230" s="256" t="s">
        <v>1725</v>
      </c>
      <c r="AQ230" s="9"/>
      <c r="AR230" s="9"/>
      <c r="AS230" s="9"/>
      <c r="AT230" s="9"/>
      <c r="AU230" s="309"/>
      <c r="AV230" s="309"/>
      <c r="BM230" s="319" t="s">
        <v>1077</v>
      </c>
      <c r="BN230" s="12" t="s">
        <v>1120</v>
      </c>
      <c r="BO230" s="12" t="s">
        <v>1121</v>
      </c>
    </row>
    <row r="231" spans="32:67" ht="45" customHeight="1">
      <c r="AF231" s="264" t="s">
        <v>1439</v>
      </c>
      <c r="AG231" s="722" t="s">
        <v>1203</v>
      </c>
      <c r="AH231" s="9" t="s">
        <v>72</v>
      </c>
      <c r="AI231" s="3">
        <v>0</v>
      </c>
      <c r="AJ231" s="3">
        <v>0</v>
      </c>
      <c r="AK231" s="3" t="s">
        <v>1188</v>
      </c>
      <c r="AL231" s="4">
        <v>15</v>
      </c>
      <c r="AM231" s="4">
        <v>22.222222222222221</v>
      </c>
      <c r="AN231" s="9" t="s">
        <v>1188</v>
      </c>
      <c r="AO231" s="256"/>
      <c r="AP231" s="256" t="s">
        <v>1749</v>
      </c>
      <c r="AQ231" s="9"/>
      <c r="AR231" s="9"/>
      <c r="AS231" s="9"/>
      <c r="AT231" s="9"/>
      <c r="AU231" s="309"/>
      <c r="AV231" s="309"/>
      <c r="BM231" s="319" t="s">
        <v>1078</v>
      </c>
      <c r="BN231" s="12" t="s">
        <v>1122</v>
      </c>
      <c r="BO231" s="12" t="s">
        <v>1123</v>
      </c>
    </row>
    <row r="232" spans="32:67" ht="45" customHeight="1">
      <c r="AF232" s="264" t="s">
        <v>824</v>
      </c>
      <c r="AG232" s="722" t="s">
        <v>1203</v>
      </c>
      <c r="AH232" s="9" t="s">
        <v>72</v>
      </c>
      <c r="AI232" s="3"/>
      <c r="AJ232" s="3"/>
      <c r="AK232" s="3" t="str">
        <f>IFERROR(AVERAGE(AI232,AJ232),"")</f>
        <v/>
      </c>
      <c r="AL232" s="4">
        <v>18</v>
      </c>
      <c r="AM232" s="4">
        <v>23</v>
      </c>
      <c r="AN232" s="9" t="s">
        <v>73</v>
      </c>
      <c r="AO232" s="256" t="s">
        <v>744</v>
      </c>
      <c r="AP232" s="256" t="s">
        <v>745</v>
      </c>
      <c r="AQ232" s="9" t="s">
        <v>746</v>
      </c>
      <c r="AR232" s="263">
        <v>10</v>
      </c>
      <c r="AS232" s="9" t="s">
        <v>749</v>
      </c>
      <c r="AT232" s="723" t="s">
        <v>751</v>
      </c>
      <c r="AU232" s="309"/>
      <c r="AV232" s="309"/>
      <c r="BM232" s="319" t="s">
        <v>1079</v>
      </c>
      <c r="BN232" s="12" t="s">
        <v>1124</v>
      </c>
      <c r="BO232" s="12" t="s">
        <v>1125</v>
      </c>
    </row>
    <row r="233" spans="32:67" ht="45" customHeight="1">
      <c r="AF233" s="264" t="s">
        <v>1412</v>
      </c>
      <c r="AG233" s="722" t="s">
        <v>1205</v>
      </c>
      <c r="AH233" s="9" t="s">
        <v>74</v>
      </c>
      <c r="AI233" s="3">
        <v>0.76</v>
      </c>
      <c r="AJ233" s="3">
        <v>0.82</v>
      </c>
      <c r="AK233" s="3">
        <v>0.79</v>
      </c>
      <c r="AL233" s="4">
        <v>18.888888888888889</v>
      </c>
      <c r="AM233" s="4">
        <v>23.888888888888889</v>
      </c>
      <c r="AN233" s="9" t="s">
        <v>1198</v>
      </c>
      <c r="AO233" s="256"/>
      <c r="AP233" s="256" t="s">
        <v>1726</v>
      </c>
      <c r="AQ233" s="9"/>
      <c r="AR233" s="9"/>
      <c r="AS233" s="9"/>
      <c r="AT233" s="9"/>
      <c r="AU233" s="309"/>
      <c r="AV233" s="309"/>
      <c r="BM233" s="319" t="s">
        <v>1080</v>
      </c>
      <c r="BN233" s="12" t="s">
        <v>1126</v>
      </c>
      <c r="BO233" s="12" t="s">
        <v>1127</v>
      </c>
    </row>
    <row r="234" spans="32:67" ht="45" customHeight="1">
      <c r="AF234" s="264" t="s">
        <v>1413</v>
      </c>
      <c r="AG234" s="722" t="s">
        <v>1213</v>
      </c>
      <c r="AH234" s="9" t="s">
        <v>74</v>
      </c>
      <c r="AI234" s="3">
        <v>0.7</v>
      </c>
      <c r="AJ234" s="3">
        <v>0.76</v>
      </c>
      <c r="AK234" s="3">
        <v>0.73</v>
      </c>
      <c r="AL234" s="4">
        <v>17.777777777777779</v>
      </c>
      <c r="AM234" s="4">
        <v>23.888888888888889</v>
      </c>
      <c r="AN234" s="9" t="s">
        <v>1198</v>
      </c>
      <c r="AO234" s="256"/>
      <c r="AP234" s="256" t="s">
        <v>1727</v>
      </c>
      <c r="AQ234" s="9"/>
      <c r="AR234" s="9"/>
      <c r="AS234" s="9"/>
      <c r="AT234" s="9"/>
      <c r="AU234" s="309"/>
      <c r="AV234" s="309"/>
      <c r="BM234" s="319" t="s">
        <v>1081</v>
      </c>
      <c r="BN234" s="12" t="s">
        <v>1128</v>
      </c>
      <c r="BO234" s="12" t="s">
        <v>1129</v>
      </c>
    </row>
    <row r="235" spans="32:67" ht="45" customHeight="1">
      <c r="AF235" s="264" t="s">
        <v>1414</v>
      </c>
      <c r="AG235" s="722" t="s">
        <v>1213</v>
      </c>
      <c r="AH235" s="9" t="s">
        <v>74</v>
      </c>
      <c r="AI235" s="3">
        <v>0.73</v>
      </c>
      <c r="AJ235" s="3">
        <v>0.77</v>
      </c>
      <c r="AK235" s="3">
        <v>0.75</v>
      </c>
      <c r="AL235" s="4">
        <v>15.555555555555555</v>
      </c>
      <c r="AM235" s="4">
        <v>22.222222222222221</v>
      </c>
      <c r="AN235" s="9" t="s">
        <v>1190</v>
      </c>
      <c r="AO235" s="256"/>
      <c r="AP235" s="256" t="s">
        <v>1728</v>
      </c>
      <c r="AQ235" s="9"/>
      <c r="AR235" s="9"/>
      <c r="AS235" s="9"/>
      <c r="AT235" s="9"/>
      <c r="AU235" s="309"/>
      <c r="AV235" s="309"/>
      <c r="BM235" s="319" t="s">
        <v>1082</v>
      </c>
      <c r="BN235" s="12" t="s">
        <v>1130</v>
      </c>
      <c r="BO235" s="12" t="s">
        <v>1131</v>
      </c>
    </row>
    <row r="236" spans="32:67" ht="45" customHeight="1">
      <c r="AF236" s="264" t="s">
        <v>1415</v>
      </c>
      <c r="AG236" s="722" t="s">
        <v>1213</v>
      </c>
      <c r="AH236" s="9" t="s">
        <v>74</v>
      </c>
      <c r="AI236" s="3">
        <v>0.71</v>
      </c>
      <c r="AJ236" s="3">
        <v>0.75</v>
      </c>
      <c r="AK236" s="3">
        <v>0.73</v>
      </c>
      <c r="AL236" s="4">
        <v>17.777777777777779</v>
      </c>
      <c r="AM236" s="4">
        <v>23.333333333333332</v>
      </c>
      <c r="AN236" s="9" t="s">
        <v>1186</v>
      </c>
      <c r="AO236" s="256"/>
      <c r="AP236" s="256" t="s">
        <v>1729</v>
      </c>
      <c r="AQ236" s="9"/>
      <c r="AR236" s="9"/>
      <c r="AS236" s="9"/>
      <c r="AT236" s="9"/>
      <c r="AU236" s="309"/>
      <c r="AV236" s="309"/>
      <c r="BM236" s="319" t="s">
        <v>1146</v>
      </c>
      <c r="BN236" s="12" t="s">
        <v>1132</v>
      </c>
      <c r="BO236" s="12" t="s">
        <v>1133</v>
      </c>
    </row>
    <row r="237" spans="32:67" ht="45" customHeight="1">
      <c r="AF237" s="264" t="s">
        <v>1416</v>
      </c>
      <c r="AG237" s="722" t="s">
        <v>1205</v>
      </c>
      <c r="AH237" s="9" t="s">
        <v>74</v>
      </c>
      <c r="AI237" s="3">
        <v>0.67</v>
      </c>
      <c r="AJ237" s="3">
        <v>0.75</v>
      </c>
      <c r="AK237" s="3">
        <v>0.71</v>
      </c>
      <c r="AL237" s="4">
        <v>18.888888888888889</v>
      </c>
      <c r="AM237" s="4">
        <v>21.666666666666668</v>
      </c>
      <c r="AN237" s="9" t="s">
        <v>1188</v>
      </c>
      <c r="AO237" s="256"/>
      <c r="AP237" s="256" t="s">
        <v>1730</v>
      </c>
      <c r="AQ237" s="9"/>
      <c r="AR237" s="9"/>
      <c r="AS237" s="9"/>
      <c r="AT237" s="9"/>
      <c r="AU237" s="309"/>
      <c r="AV237" s="309"/>
      <c r="BM237" s="319" t="s">
        <v>1147</v>
      </c>
      <c r="BN237" s="12" t="s">
        <v>1134</v>
      </c>
      <c r="BO237" s="12" t="s">
        <v>1135</v>
      </c>
    </row>
    <row r="238" spans="32:67" ht="45" customHeight="1">
      <c r="AF238" s="264" t="s">
        <v>1417</v>
      </c>
      <c r="AG238" s="722" t="s">
        <v>1203</v>
      </c>
      <c r="AH238" s="9" t="s">
        <v>72</v>
      </c>
      <c r="AI238" s="3"/>
      <c r="AJ238" s="3"/>
      <c r="AK238" s="3"/>
      <c r="AL238" s="4">
        <v>18.333333333333332</v>
      </c>
      <c r="AM238" s="4">
        <v>22.222222222222221</v>
      </c>
      <c r="AN238" s="9" t="s">
        <v>1198</v>
      </c>
      <c r="AO238" s="256"/>
      <c r="AP238" s="256" t="s">
        <v>1731</v>
      </c>
      <c r="AQ238" s="9"/>
      <c r="AR238" s="9"/>
      <c r="AS238" s="9"/>
      <c r="AT238" s="9"/>
      <c r="AU238" s="309"/>
      <c r="AV238" s="309"/>
      <c r="BM238" s="319" t="s">
        <v>1148</v>
      </c>
      <c r="BN238" s="12" t="s">
        <v>1084</v>
      </c>
      <c r="BO238" s="12" t="s">
        <v>1136</v>
      </c>
    </row>
    <row r="239" spans="32:67" ht="45" customHeight="1">
      <c r="AF239" s="264" t="s">
        <v>1418</v>
      </c>
      <c r="AG239" s="722" t="s">
        <v>1213</v>
      </c>
      <c r="AH239" s="9" t="s">
        <v>74</v>
      </c>
      <c r="AI239" s="3">
        <v>0.67</v>
      </c>
      <c r="AJ239" s="3">
        <v>0.71</v>
      </c>
      <c r="AK239" s="3">
        <v>0.69</v>
      </c>
      <c r="AL239" s="4">
        <v>17.777777777777779</v>
      </c>
      <c r="AM239" s="4">
        <v>22.222222222222221</v>
      </c>
      <c r="AN239" s="9" t="s">
        <v>1186</v>
      </c>
      <c r="AO239" s="256"/>
      <c r="AP239" s="256" t="s">
        <v>1732</v>
      </c>
      <c r="AQ239" s="9"/>
      <c r="AR239" s="9"/>
      <c r="AS239" s="9"/>
      <c r="AT239" s="9"/>
      <c r="AU239" s="309"/>
      <c r="AV239" s="309"/>
      <c r="BM239" s="319" t="s">
        <v>1149</v>
      </c>
      <c r="BN239" s="12" t="s">
        <v>1084</v>
      </c>
      <c r="BO239" s="12" t="s">
        <v>1137</v>
      </c>
    </row>
    <row r="240" spans="32:67" ht="45" customHeight="1">
      <c r="AF240" s="264" t="s">
        <v>1419</v>
      </c>
      <c r="AG240" s="722" t="s">
        <v>1205</v>
      </c>
      <c r="AH240" s="9" t="s">
        <v>74</v>
      </c>
      <c r="AI240" s="3">
        <v>0.75</v>
      </c>
      <c r="AJ240" s="3">
        <v>0.82</v>
      </c>
      <c r="AK240" s="3">
        <v>0.78500000000000003</v>
      </c>
      <c r="AL240" s="4">
        <v>17.777777777777779</v>
      </c>
      <c r="AM240" s="4">
        <v>22.222222222222221</v>
      </c>
      <c r="AN240" s="9" t="s">
        <v>1190</v>
      </c>
      <c r="AO240" s="256"/>
      <c r="AP240" s="256" t="s">
        <v>1733</v>
      </c>
      <c r="AQ240" s="9"/>
      <c r="AR240" s="9"/>
      <c r="AS240" s="9"/>
      <c r="AT240" s="9"/>
      <c r="AU240" s="309"/>
      <c r="AV240" s="309"/>
      <c r="BM240" s="319" t="s">
        <v>1152</v>
      </c>
      <c r="BN240" s="12" t="s">
        <v>1138</v>
      </c>
      <c r="BO240" s="12" t="s">
        <v>1139</v>
      </c>
    </row>
    <row r="241" spans="32:67" ht="45" customHeight="1">
      <c r="AF241" s="264" t="s">
        <v>1420</v>
      </c>
      <c r="AG241" s="722" t="s">
        <v>1421</v>
      </c>
      <c r="AH241" s="9" t="s">
        <v>74</v>
      </c>
      <c r="AI241" s="3">
        <v>0.7</v>
      </c>
      <c r="AJ241" s="3">
        <v>0.8</v>
      </c>
      <c r="AK241" s="3">
        <v>0.75</v>
      </c>
      <c r="AL241" s="4">
        <v>20</v>
      </c>
      <c r="AM241" s="4">
        <v>23.888888888888889</v>
      </c>
      <c r="AN241" s="9" t="s">
        <v>1186</v>
      </c>
      <c r="AO241" s="256"/>
      <c r="AP241" s="256" t="s">
        <v>1734</v>
      </c>
      <c r="AQ241" s="9"/>
      <c r="AR241" s="9"/>
      <c r="AS241" s="9"/>
      <c r="AT241" s="9"/>
      <c r="AU241" s="309"/>
      <c r="AV241" s="309"/>
      <c r="BM241" s="319" t="s">
        <v>1153</v>
      </c>
      <c r="BN241" s="12" t="s">
        <v>1085</v>
      </c>
      <c r="BO241" s="12" t="s">
        <v>1140</v>
      </c>
    </row>
    <row r="242" spans="32:67" ht="45" customHeight="1">
      <c r="AF242" s="264" t="s">
        <v>1422</v>
      </c>
      <c r="AG242" s="722" t="s">
        <v>1205</v>
      </c>
      <c r="AH242" s="9" t="s">
        <v>74</v>
      </c>
      <c r="AI242" s="3"/>
      <c r="AJ242" s="3"/>
      <c r="AK242" s="3"/>
      <c r="AL242" s="4">
        <v>-17.777777777777779</v>
      </c>
      <c r="AM242" s="4">
        <v>-17.777777777777779</v>
      </c>
      <c r="AN242" s="9"/>
      <c r="AO242" s="256"/>
      <c r="AP242" s="256"/>
      <c r="AQ242" s="9"/>
      <c r="AR242" s="9"/>
      <c r="AS242" s="9"/>
      <c r="AT242" s="9"/>
      <c r="AU242" s="309"/>
      <c r="AV242" s="309"/>
    </row>
    <row r="243" spans="32:67" ht="45" customHeight="1">
      <c r="AF243" s="264" t="s">
        <v>1423</v>
      </c>
      <c r="AG243" s="722" t="s">
        <v>1205</v>
      </c>
      <c r="AH243" s="9" t="s">
        <v>74</v>
      </c>
      <c r="AI243" s="3"/>
      <c r="AJ243" s="3"/>
      <c r="AK243" s="3">
        <v>0.72</v>
      </c>
      <c r="AL243" s="4">
        <v>18.333333333333332</v>
      </c>
      <c r="AM243" s="4">
        <v>21.111111111111111</v>
      </c>
      <c r="AN243" s="9" t="s">
        <v>1196</v>
      </c>
      <c r="AO243" s="256"/>
      <c r="AP243" s="256" t="s">
        <v>1735</v>
      </c>
      <c r="AQ243" s="9"/>
      <c r="AR243" s="9"/>
      <c r="AS243" s="9"/>
      <c r="AT243" s="9"/>
      <c r="AU243" s="309"/>
      <c r="AV243" s="309"/>
      <c r="BM243" s="319" t="s">
        <v>1154</v>
      </c>
      <c r="BN243" s="12" t="s">
        <v>1141</v>
      </c>
    </row>
    <row r="244" spans="32:67" ht="45" customHeight="1">
      <c r="AF244" s="264" t="s">
        <v>1424</v>
      </c>
      <c r="AG244" s="722" t="s">
        <v>1205</v>
      </c>
      <c r="AH244" s="9" t="s">
        <v>74</v>
      </c>
      <c r="AI244" s="3">
        <v>0.65</v>
      </c>
      <c r="AJ244" s="3">
        <v>0.7</v>
      </c>
      <c r="AK244" s="3">
        <v>0.67500000000000004</v>
      </c>
      <c r="AL244" s="4">
        <v>18.333333333333332</v>
      </c>
      <c r="AM244" s="4">
        <v>23.888888888888889</v>
      </c>
      <c r="AN244" s="9" t="s">
        <v>1198</v>
      </c>
      <c r="AO244" s="256"/>
      <c r="AP244" s="256" t="s">
        <v>1736</v>
      </c>
      <c r="AQ244" s="9"/>
      <c r="AR244" s="9"/>
      <c r="AS244" s="9"/>
      <c r="AT244" s="9"/>
      <c r="AU244" s="309"/>
      <c r="AV244" s="309"/>
      <c r="BM244" s="319" t="s">
        <v>1083</v>
      </c>
      <c r="BN244" s="12" t="s">
        <v>1142</v>
      </c>
      <c r="BO244" s="12" t="s">
        <v>1143</v>
      </c>
    </row>
    <row r="245" spans="32:67" ht="45" customHeight="1">
      <c r="AF245" s="264" t="s">
        <v>1425</v>
      </c>
      <c r="AG245" s="722" t="s">
        <v>1205</v>
      </c>
      <c r="AH245" s="9" t="s">
        <v>74</v>
      </c>
      <c r="AI245" s="3">
        <v>0.74</v>
      </c>
      <c r="AJ245" s="3">
        <v>0.78</v>
      </c>
      <c r="AK245" s="3">
        <v>0.76</v>
      </c>
      <c r="AL245" s="4">
        <v>-17.777777777777779</v>
      </c>
      <c r="AM245" s="4">
        <v>-17.777777777777779</v>
      </c>
      <c r="AN245" s="9" t="s">
        <v>1188</v>
      </c>
      <c r="AO245" s="256"/>
      <c r="AP245" s="256" t="s">
        <v>1737</v>
      </c>
      <c r="AQ245" s="9"/>
      <c r="AR245" s="9"/>
      <c r="AS245" s="9"/>
      <c r="AT245" s="9"/>
      <c r="AU245" s="309"/>
      <c r="AV245" s="309"/>
      <c r="BM245" s="319" t="s">
        <v>1076</v>
      </c>
      <c r="BN245" s="12" t="s">
        <v>1144</v>
      </c>
      <c r="BO245" s="12" t="s">
        <v>1145</v>
      </c>
    </row>
    <row r="246" spans="32:67" ht="45" customHeight="1">
      <c r="AF246" s="264" t="s">
        <v>1426</v>
      </c>
      <c r="AG246" s="722" t="s">
        <v>1205</v>
      </c>
      <c r="AH246" s="9" t="s">
        <v>74</v>
      </c>
      <c r="AI246" s="3">
        <v>0.7</v>
      </c>
      <c r="AJ246" s="3">
        <v>0.78</v>
      </c>
      <c r="AK246" s="3">
        <v>0.74</v>
      </c>
      <c r="AL246" s="4">
        <v>10</v>
      </c>
      <c r="AM246" s="4">
        <v>12.777777777777779</v>
      </c>
      <c r="AN246" s="9" t="s">
        <v>1188</v>
      </c>
      <c r="AO246" s="256"/>
      <c r="AP246" s="256" t="s">
        <v>1738</v>
      </c>
      <c r="AQ246" s="9"/>
      <c r="AR246" s="9"/>
      <c r="AS246" s="9"/>
      <c r="AT246" s="9"/>
      <c r="AU246" s="309"/>
      <c r="AV246" s="309"/>
    </row>
    <row r="247" spans="32:67" ht="45" customHeight="1">
      <c r="AF247" s="264" t="s">
        <v>1427</v>
      </c>
      <c r="AG247" s="722" t="s">
        <v>1205</v>
      </c>
      <c r="AH247" s="9" t="s">
        <v>74</v>
      </c>
      <c r="AI247" s="3">
        <v>0.75</v>
      </c>
      <c r="AJ247" s="3">
        <v>0.8</v>
      </c>
      <c r="AK247" s="3">
        <v>0.77500000000000002</v>
      </c>
      <c r="AL247" s="4">
        <v>18.333333333333332</v>
      </c>
      <c r="AM247" s="4">
        <v>22.222222222222221</v>
      </c>
      <c r="AN247" s="9" t="s">
        <v>1190</v>
      </c>
      <c r="AO247" s="256"/>
      <c r="AP247" s="256" t="s">
        <v>1739</v>
      </c>
      <c r="AQ247" s="9"/>
      <c r="AR247" s="9"/>
      <c r="AS247" s="9"/>
      <c r="AT247" s="9"/>
      <c r="AU247" s="309"/>
      <c r="AV247" s="309"/>
    </row>
    <row r="248" spans="32:67" ht="45" customHeight="1">
      <c r="AF248" s="264" t="s">
        <v>1428</v>
      </c>
      <c r="AG248" s="722" t="s">
        <v>1203</v>
      </c>
      <c r="AH248" s="9" t="s">
        <v>72</v>
      </c>
      <c r="AI248" s="3"/>
      <c r="AJ248" s="3"/>
      <c r="AK248" s="3"/>
      <c r="AL248" s="4">
        <v>17.222222222222221</v>
      </c>
      <c r="AM248" s="4">
        <v>22.222222222222221</v>
      </c>
      <c r="AN248" s="9" t="s">
        <v>1198</v>
      </c>
      <c r="AO248" s="256"/>
      <c r="AP248" s="256" t="s">
        <v>1740</v>
      </c>
      <c r="AQ248" s="9"/>
      <c r="AR248" s="9"/>
      <c r="AS248" s="9"/>
      <c r="AT248" s="9"/>
      <c r="AU248" s="309"/>
      <c r="AV248" s="309"/>
    </row>
    <row r="249" spans="32:67" ht="45" customHeight="1">
      <c r="AF249" s="264" t="s">
        <v>1430</v>
      </c>
      <c r="AG249" s="722" t="s">
        <v>1236</v>
      </c>
      <c r="AH249" s="9" t="s">
        <v>74</v>
      </c>
      <c r="AI249" s="3"/>
      <c r="AJ249" s="3"/>
      <c r="AK249" s="3"/>
      <c r="AL249" s="4">
        <v>7.7777777777777777</v>
      </c>
      <c r="AM249" s="4">
        <v>12.222222222222221</v>
      </c>
      <c r="AN249" s="9" t="s">
        <v>1188</v>
      </c>
      <c r="AO249" s="256"/>
      <c r="AP249" s="256" t="s">
        <v>1741</v>
      </c>
      <c r="AQ249" s="9"/>
      <c r="AR249" s="9"/>
      <c r="AS249" s="9"/>
      <c r="AT249" s="9"/>
      <c r="AU249" s="309"/>
      <c r="AV249" s="309"/>
    </row>
    <row r="250" spans="32:67" ht="45" customHeight="1">
      <c r="AF250" s="264" t="s">
        <v>1431</v>
      </c>
      <c r="AG250" s="722" t="s">
        <v>1205</v>
      </c>
      <c r="AH250" s="9" t="s">
        <v>74</v>
      </c>
      <c r="AI250" s="3"/>
      <c r="AJ250" s="3"/>
      <c r="AK250" s="3">
        <v>0.7</v>
      </c>
      <c r="AL250" s="4">
        <v>8.8888888888888893</v>
      </c>
      <c r="AM250" s="4">
        <v>11.111111111111111</v>
      </c>
      <c r="AN250" s="9" t="s">
        <v>1188</v>
      </c>
      <c r="AO250" s="256"/>
      <c r="AP250" s="256" t="s">
        <v>1742</v>
      </c>
      <c r="AQ250" s="9"/>
      <c r="AR250" s="9"/>
      <c r="AS250" s="9"/>
      <c r="AT250" s="9"/>
      <c r="AU250" s="309"/>
      <c r="AV250" s="309"/>
    </row>
    <row r="251" spans="32:67" ht="45" customHeight="1">
      <c r="AF251" s="264" t="s">
        <v>1432</v>
      </c>
      <c r="AG251" s="722" t="s">
        <v>1213</v>
      </c>
      <c r="AH251" s="9" t="s">
        <v>74</v>
      </c>
      <c r="AI251" s="3">
        <v>0.7</v>
      </c>
      <c r="AJ251" s="3">
        <v>0.74</v>
      </c>
      <c r="AK251" s="3">
        <v>0.72</v>
      </c>
      <c r="AL251" s="4">
        <v>8.8888888888888893</v>
      </c>
      <c r="AM251" s="4">
        <v>13.333333333333334</v>
      </c>
      <c r="AN251" s="9" t="s">
        <v>1188</v>
      </c>
      <c r="AO251" s="256"/>
      <c r="AP251" s="256" t="s">
        <v>1743</v>
      </c>
      <c r="AQ251" s="9"/>
      <c r="AR251" s="9"/>
      <c r="AS251" s="9"/>
      <c r="AT251" s="9"/>
      <c r="AU251" s="309"/>
      <c r="AV251" s="309"/>
    </row>
    <row r="252" spans="32:67" ht="45" customHeight="1">
      <c r="AF252" s="264" t="s">
        <v>1433</v>
      </c>
      <c r="AG252" s="722" t="s">
        <v>1213</v>
      </c>
      <c r="AH252" s="9" t="s">
        <v>74</v>
      </c>
      <c r="AI252" s="3">
        <v>0.72</v>
      </c>
      <c r="AJ252" s="3">
        <v>0.74</v>
      </c>
      <c r="AK252" s="3">
        <v>0.73</v>
      </c>
      <c r="AL252" s="4">
        <v>11.111111111111111</v>
      </c>
      <c r="AM252" s="4">
        <v>16.666666666666668</v>
      </c>
      <c r="AN252" s="9" t="s">
        <v>1188</v>
      </c>
      <c r="AO252" s="256"/>
      <c r="AP252" s="256" t="s">
        <v>1744</v>
      </c>
      <c r="AQ252" s="9"/>
      <c r="AR252" s="9"/>
      <c r="AS252" s="9"/>
      <c r="AT252" s="9"/>
      <c r="AU252" s="309"/>
      <c r="AV252" s="309"/>
    </row>
    <row r="253" spans="32:67" ht="45" customHeight="1">
      <c r="AF253" s="264" t="s">
        <v>1434</v>
      </c>
      <c r="AG253" s="722" t="s">
        <v>1203</v>
      </c>
      <c r="AH253" s="9" t="s">
        <v>72</v>
      </c>
      <c r="AI253" s="3"/>
      <c r="AJ253" s="3"/>
      <c r="AK253" s="3">
        <v>0.7</v>
      </c>
      <c r="AL253" s="4">
        <v>17.222222222222221</v>
      </c>
      <c r="AM253" s="4">
        <v>22.222222222222221</v>
      </c>
      <c r="AN253" s="9" t="s">
        <v>1287</v>
      </c>
      <c r="AO253" s="256"/>
      <c r="AP253" s="256" t="s">
        <v>1745</v>
      </c>
      <c r="AQ253" s="9"/>
      <c r="AR253" s="9"/>
      <c r="AS253" s="9"/>
      <c r="AT253" s="9"/>
      <c r="AU253" s="309"/>
      <c r="AV253" s="309"/>
    </row>
    <row r="254" spans="32:67" ht="45" customHeight="1">
      <c r="AF254" s="264" t="s">
        <v>1435</v>
      </c>
      <c r="AG254" s="722" t="s">
        <v>1436</v>
      </c>
      <c r="AH254" s="9" t="s">
        <v>72</v>
      </c>
      <c r="AI254" s="3"/>
      <c r="AJ254" s="3"/>
      <c r="AK254" s="3"/>
      <c r="AL254" s="4">
        <v>13.888888888888889</v>
      </c>
      <c r="AM254" s="4">
        <v>25</v>
      </c>
      <c r="AN254" s="9" t="s">
        <v>1186</v>
      </c>
      <c r="AO254" s="256"/>
      <c r="AP254" s="256" t="s">
        <v>1746</v>
      </c>
      <c r="AQ254" s="9"/>
      <c r="AR254" s="9"/>
      <c r="AS254" s="9"/>
      <c r="AT254" s="9"/>
      <c r="AU254" s="309"/>
      <c r="AV254" s="309"/>
    </row>
    <row r="255" spans="32:67" ht="45" customHeight="1">
      <c r="AF255" s="264" t="s">
        <v>1437</v>
      </c>
      <c r="AG255" s="722" t="s">
        <v>1436</v>
      </c>
      <c r="AH255" s="9" t="s">
        <v>72</v>
      </c>
      <c r="AI255" s="3"/>
      <c r="AJ255" s="3"/>
      <c r="AK255" s="3"/>
      <c r="AL255" s="4">
        <v>13.888888888888889</v>
      </c>
      <c r="AM255" s="4">
        <v>25</v>
      </c>
      <c r="AN255" s="9" t="s">
        <v>1186</v>
      </c>
      <c r="AO255" s="256"/>
      <c r="AP255" s="256" t="s">
        <v>1747</v>
      </c>
      <c r="AQ255" s="9"/>
      <c r="AR255" s="9"/>
      <c r="AS255" s="9"/>
      <c r="AT255" s="9"/>
      <c r="AU255" s="309"/>
      <c r="AV255" s="309"/>
    </row>
    <row r="256" spans="32:67" ht="45" customHeight="1">
      <c r="AF256" s="264" t="s">
        <v>1438</v>
      </c>
      <c r="AG256" s="722" t="s">
        <v>1205</v>
      </c>
      <c r="AH256" s="9" t="s">
        <v>74</v>
      </c>
      <c r="AI256" s="3">
        <v>0.77</v>
      </c>
      <c r="AJ256" s="3">
        <v>0.84</v>
      </c>
      <c r="AK256" s="3">
        <v>0.80500000000000005</v>
      </c>
      <c r="AL256" s="4">
        <v>24.444444444444443</v>
      </c>
      <c r="AM256" s="4">
        <v>29.444444444444443</v>
      </c>
      <c r="AN256" s="9" t="s">
        <v>1188</v>
      </c>
      <c r="AO256" s="256"/>
      <c r="AP256" s="256" t="s">
        <v>1748</v>
      </c>
      <c r="AQ256" s="9"/>
      <c r="AR256" s="9"/>
      <c r="AS256" s="9"/>
      <c r="AT256" s="9"/>
      <c r="AU256" s="309"/>
      <c r="AV256" s="309"/>
    </row>
    <row r="257" spans="32:48" ht="45" customHeight="1">
      <c r="AF257" s="264" t="s">
        <v>1440</v>
      </c>
      <c r="AG257" s="722" t="s">
        <v>1205</v>
      </c>
      <c r="AH257" s="9" t="s">
        <v>74</v>
      </c>
      <c r="AI257" s="3">
        <v>0.65</v>
      </c>
      <c r="AJ257" s="3">
        <v>0.75</v>
      </c>
      <c r="AK257" s="3">
        <v>0.7</v>
      </c>
      <c r="AL257" s="4">
        <v>-17.777777777777779</v>
      </c>
      <c r="AM257" s="4">
        <v>-17.777777777777779</v>
      </c>
      <c r="AN257" s="9" t="s">
        <v>1190</v>
      </c>
      <c r="AO257" s="256"/>
      <c r="AP257" s="256" t="s">
        <v>1750</v>
      </c>
      <c r="AQ257" s="9"/>
      <c r="AR257" s="9"/>
      <c r="AS257" s="9"/>
      <c r="AT257" s="9"/>
      <c r="AU257" s="309"/>
      <c r="AV257" s="309"/>
    </row>
    <row r="258" spans="32:48" ht="45" customHeight="1">
      <c r="AF258" s="264" t="s">
        <v>1441</v>
      </c>
      <c r="AG258" s="722" t="s">
        <v>1244</v>
      </c>
      <c r="AH258" s="9" t="s">
        <v>72</v>
      </c>
      <c r="AI258" s="3"/>
      <c r="AJ258" s="3"/>
      <c r="AK258" s="3"/>
      <c r="AL258" s="4">
        <v>17.777777777777779</v>
      </c>
      <c r="AM258" s="4">
        <v>22.222222222222221</v>
      </c>
      <c r="AN258" s="9" t="s">
        <v>1188</v>
      </c>
      <c r="AO258" s="256"/>
      <c r="AP258" s="256" t="s">
        <v>1751</v>
      </c>
      <c r="AQ258" s="9"/>
      <c r="AR258" s="9"/>
      <c r="AS258" s="9"/>
      <c r="AT258" s="9"/>
      <c r="AU258" s="309"/>
      <c r="AV258" s="309"/>
    </row>
    <row r="259" spans="32:48" ht="45" customHeight="1">
      <c r="AF259" s="264" t="s">
        <v>1442</v>
      </c>
      <c r="AG259" s="722" t="s">
        <v>1213</v>
      </c>
      <c r="AH259" s="9" t="s">
        <v>74</v>
      </c>
      <c r="AI259" s="3">
        <v>0.7</v>
      </c>
      <c r="AJ259" s="3">
        <v>0.76</v>
      </c>
      <c r="AK259" s="3">
        <v>0.73</v>
      </c>
      <c r="AL259" s="4">
        <v>11.111111111111111</v>
      </c>
      <c r="AM259" s="4">
        <v>14.444444444444445</v>
      </c>
      <c r="AN259" s="9" t="s">
        <v>1186</v>
      </c>
      <c r="AO259" s="256"/>
      <c r="AP259" s="256" t="s">
        <v>1752</v>
      </c>
      <c r="AQ259" s="9"/>
      <c r="AR259" s="9"/>
      <c r="AS259" s="9"/>
      <c r="AT259" s="9"/>
      <c r="AU259" s="309"/>
      <c r="AV259" s="309"/>
    </row>
    <row r="260" spans="32:48" ht="45" customHeight="1">
      <c r="AF260" s="264" t="s">
        <v>1443</v>
      </c>
      <c r="AG260" s="722" t="s">
        <v>1210</v>
      </c>
      <c r="AH260" s="9" t="s">
        <v>74</v>
      </c>
      <c r="AI260" s="3"/>
      <c r="AJ260" s="3"/>
      <c r="AK260" s="3"/>
      <c r="AL260" s="4">
        <v>20</v>
      </c>
      <c r="AM260" s="4">
        <v>22.222222222222221</v>
      </c>
      <c r="AN260" s="9" t="s">
        <v>1198</v>
      </c>
      <c r="AO260" s="256"/>
      <c r="AP260" s="256" t="s">
        <v>1753</v>
      </c>
      <c r="AQ260" s="9"/>
      <c r="AR260" s="9"/>
      <c r="AS260" s="9"/>
      <c r="AT260" s="9"/>
      <c r="AU260" s="309"/>
      <c r="AV260" s="309"/>
    </row>
    <row r="261" spans="32:48" ht="45" customHeight="1">
      <c r="AF261" s="264" t="s">
        <v>1444</v>
      </c>
      <c r="AG261" s="722" t="s">
        <v>1236</v>
      </c>
      <c r="AH261" s="9" t="s">
        <v>74</v>
      </c>
      <c r="AI261" s="3"/>
      <c r="AJ261" s="3"/>
      <c r="AK261" s="3"/>
      <c r="AL261" s="4">
        <v>18.333333333333332</v>
      </c>
      <c r="AM261" s="4">
        <v>21.111111111111111</v>
      </c>
      <c r="AN261" s="9" t="s">
        <v>1186</v>
      </c>
      <c r="AO261" s="256"/>
      <c r="AP261" s="256" t="s">
        <v>1754</v>
      </c>
      <c r="AQ261" s="9"/>
      <c r="AR261" s="9"/>
      <c r="AS261" s="9"/>
      <c r="AT261" s="9"/>
      <c r="AU261" s="309"/>
      <c r="AV261" s="309"/>
    </row>
    <row r="262" spans="32:48" ht="45" customHeight="1">
      <c r="AF262" s="264" t="s">
        <v>1445</v>
      </c>
      <c r="AG262" s="722" t="s">
        <v>1213</v>
      </c>
      <c r="AH262" s="9" t="s">
        <v>74</v>
      </c>
      <c r="AI262" s="3">
        <v>0.67</v>
      </c>
      <c r="AJ262" s="3">
        <v>7.0999999999999995E-3</v>
      </c>
      <c r="AK262" s="3">
        <v>0.69</v>
      </c>
      <c r="AL262" s="4">
        <v>18.333333333333332</v>
      </c>
      <c r="AM262" s="4">
        <v>23.888888888888889</v>
      </c>
      <c r="AN262" s="9" t="s">
        <v>1186</v>
      </c>
      <c r="AO262" s="256"/>
      <c r="AP262" s="256" t="s">
        <v>1755</v>
      </c>
      <c r="AQ262" s="9"/>
      <c r="AR262" s="9"/>
      <c r="AS262" s="9"/>
      <c r="AT262" s="9"/>
      <c r="AU262" s="309"/>
      <c r="AV262" s="309"/>
    </row>
    <row r="263" spans="32:48" ht="45" customHeight="1">
      <c r="AF263" s="264" t="s">
        <v>1446</v>
      </c>
      <c r="AG263" s="722" t="s">
        <v>1203</v>
      </c>
      <c r="AH263" s="9" t="s">
        <v>72</v>
      </c>
      <c r="AI263" s="3"/>
      <c r="AJ263" s="3"/>
      <c r="AK263" s="3">
        <v>0.75</v>
      </c>
      <c r="AL263" s="4">
        <v>10</v>
      </c>
      <c r="AM263" s="4">
        <v>22.222222222222221</v>
      </c>
      <c r="AN263" s="9" t="s">
        <v>1186</v>
      </c>
      <c r="AO263" s="256"/>
      <c r="AP263" s="256" t="s">
        <v>1756</v>
      </c>
      <c r="AQ263" s="9"/>
      <c r="AR263" s="9"/>
      <c r="AS263" s="9"/>
      <c r="AT263" s="9"/>
      <c r="AU263" s="309"/>
      <c r="AV263" s="309"/>
    </row>
    <row r="264" spans="32:48" ht="45" customHeight="1">
      <c r="AF264" s="264" t="s">
        <v>1447</v>
      </c>
      <c r="AG264" s="722" t="s">
        <v>1213</v>
      </c>
      <c r="AH264" s="9" t="s">
        <v>74</v>
      </c>
      <c r="AI264" s="3"/>
      <c r="AJ264" s="3"/>
      <c r="AK264" s="3">
        <v>0.75</v>
      </c>
      <c r="AL264" s="4">
        <v>8.8888888888888893</v>
      </c>
      <c r="AM264" s="4">
        <v>14.444444444444445</v>
      </c>
      <c r="AN264" s="9" t="s">
        <v>1190</v>
      </c>
      <c r="AO264" s="256"/>
      <c r="AP264" s="256" t="s">
        <v>1757</v>
      </c>
      <c r="AQ264" s="9"/>
      <c r="AR264" s="9"/>
      <c r="AS264" s="9"/>
      <c r="AT264" s="9"/>
      <c r="AU264" s="309"/>
      <c r="AV264" s="309"/>
    </row>
    <row r="265" spans="32:48" ht="45" customHeight="1">
      <c r="AF265" s="264" t="s">
        <v>1448</v>
      </c>
      <c r="AG265" s="722" t="s">
        <v>1205</v>
      </c>
      <c r="AH265" s="9" t="s">
        <v>74</v>
      </c>
      <c r="AI265" s="3">
        <v>0.65</v>
      </c>
      <c r="AJ265" s="3">
        <v>0.73</v>
      </c>
      <c r="AK265" s="3">
        <v>0.69</v>
      </c>
      <c r="AL265" s="4">
        <v>11.111111111111111</v>
      </c>
      <c r="AM265" s="4">
        <v>14.444444444444445</v>
      </c>
      <c r="AN265" s="9" t="s">
        <v>1188</v>
      </c>
      <c r="AO265" s="256"/>
      <c r="AP265" s="256" t="s">
        <v>1758</v>
      </c>
      <c r="AQ265" s="9"/>
      <c r="AR265" s="9"/>
      <c r="AS265" s="9"/>
      <c r="AT265" s="9"/>
      <c r="AU265" s="309"/>
      <c r="AV265" s="309"/>
    </row>
    <row r="266" spans="32:48" ht="45" customHeight="1">
      <c r="AF266" s="264" t="s">
        <v>1449</v>
      </c>
      <c r="AG266" s="722" t="s">
        <v>1205</v>
      </c>
      <c r="AH266" s="9" t="s">
        <v>74</v>
      </c>
      <c r="AI266" s="3">
        <v>0.66</v>
      </c>
      <c r="AJ266" s="3">
        <v>0.73</v>
      </c>
      <c r="AK266" s="3">
        <v>0.69</v>
      </c>
      <c r="AL266" s="4">
        <v>10</v>
      </c>
      <c r="AM266" s="4">
        <v>12.777777777777779</v>
      </c>
      <c r="AN266" s="9" t="s">
        <v>1188</v>
      </c>
      <c r="AO266" s="256"/>
      <c r="AP266" s="256" t="s">
        <v>1759</v>
      </c>
      <c r="AQ266" s="9"/>
      <c r="AR266" s="9"/>
      <c r="AS266" s="9"/>
      <c r="AT266" s="9"/>
      <c r="AU266" s="309"/>
      <c r="AV266" s="309"/>
    </row>
    <row r="267" spans="32:48" ht="45" customHeight="1">
      <c r="AF267" s="264" t="s">
        <v>1450</v>
      </c>
      <c r="AG267" s="722" t="s">
        <v>1236</v>
      </c>
      <c r="AH267" s="9" t="s">
        <v>74</v>
      </c>
      <c r="AI267" s="3"/>
      <c r="AJ267" s="3"/>
      <c r="AK267" s="3">
        <v>0.76</v>
      </c>
      <c r="AL267" s="4">
        <v>15.555555555555555</v>
      </c>
      <c r="AM267" s="4">
        <v>20</v>
      </c>
      <c r="AN267" s="9" t="s">
        <v>1186</v>
      </c>
      <c r="AO267" s="256"/>
      <c r="AP267" s="256" t="s">
        <v>1760</v>
      </c>
      <c r="AQ267" s="9"/>
      <c r="AR267" s="9"/>
      <c r="AS267" s="9"/>
      <c r="AT267" s="9"/>
      <c r="AU267" s="309"/>
      <c r="AV267" s="309"/>
    </row>
    <row r="268" spans="32:48" ht="45" customHeight="1">
      <c r="AF268" s="264" t="s">
        <v>1451</v>
      </c>
      <c r="AG268" s="722" t="s">
        <v>1236</v>
      </c>
      <c r="AH268" s="9" t="s">
        <v>74</v>
      </c>
      <c r="AI268" s="3"/>
      <c r="AJ268" s="3"/>
      <c r="AK268" s="3"/>
      <c r="AL268" s="4">
        <v>14.444444444444445</v>
      </c>
      <c r="AM268" s="4">
        <v>20</v>
      </c>
      <c r="AN268" s="9" t="s">
        <v>1188</v>
      </c>
      <c r="AO268" s="256"/>
      <c r="AP268" s="256" t="s">
        <v>1761</v>
      </c>
      <c r="AQ268" s="9"/>
      <c r="AR268" s="9"/>
      <c r="AS268" s="9"/>
      <c r="AT268" s="9"/>
      <c r="AU268" s="309"/>
      <c r="AV268" s="309"/>
    </row>
    <row r="269" spans="32:48" ht="45" customHeight="1">
      <c r="AF269" s="264" t="s">
        <v>1452</v>
      </c>
      <c r="AG269" s="722" t="s">
        <v>1205</v>
      </c>
      <c r="AH269" s="9" t="s">
        <v>74</v>
      </c>
      <c r="AI269" s="3"/>
      <c r="AJ269" s="3"/>
      <c r="AK269" s="3"/>
      <c r="AL269" s="4">
        <v>18.888888888888889</v>
      </c>
      <c r="AM269" s="4">
        <v>21.111111111111111</v>
      </c>
      <c r="AN269" s="9" t="s">
        <v>1188</v>
      </c>
      <c r="AO269" s="256"/>
      <c r="AP269" s="256" t="s">
        <v>1762</v>
      </c>
      <c r="AQ269" s="9"/>
      <c r="AR269" s="9"/>
      <c r="AS269" s="9"/>
      <c r="AT269" s="9"/>
      <c r="AU269" s="309"/>
      <c r="AV269" s="309"/>
    </row>
    <row r="270" spans="32:48" ht="45" customHeight="1">
      <c r="AF270" s="264" t="s">
        <v>1453</v>
      </c>
      <c r="AG270" s="722" t="s">
        <v>1205</v>
      </c>
      <c r="AH270" s="9" t="s">
        <v>74</v>
      </c>
      <c r="AI270" s="3">
        <v>0.7</v>
      </c>
      <c r="AJ270" s="3">
        <v>0.8</v>
      </c>
      <c r="AK270" s="3">
        <v>0.75</v>
      </c>
      <c r="AL270" s="4">
        <v>25</v>
      </c>
      <c r="AM270" s="4">
        <v>35</v>
      </c>
      <c r="AN270" s="9" t="s">
        <v>1196</v>
      </c>
      <c r="AO270" s="256"/>
      <c r="AP270" s="256" t="s">
        <v>1763</v>
      </c>
      <c r="AQ270" s="9"/>
      <c r="AR270" s="9"/>
      <c r="AS270" s="9"/>
      <c r="AT270" s="9"/>
      <c r="AU270" s="309"/>
      <c r="AV270" s="309"/>
    </row>
    <row r="271" spans="32:48" ht="45" customHeight="1">
      <c r="AF271" s="264" t="s">
        <v>1454</v>
      </c>
      <c r="AG271" s="722" t="s">
        <v>1236</v>
      </c>
      <c r="AH271" s="9" t="s">
        <v>74</v>
      </c>
      <c r="AI271" s="3"/>
      <c r="AJ271" s="3"/>
      <c r="AK271" s="3"/>
      <c r="AL271" s="4">
        <v>20</v>
      </c>
      <c r="AM271" s="4">
        <v>23.333333333333332</v>
      </c>
      <c r="AN271" s="9"/>
      <c r="AO271" s="256"/>
      <c r="AP271" s="256" t="s">
        <v>1764</v>
      </c>
      <c r="AQ271" s="9"/>
      <c r="AR271" s="9"/>
      <c r="AS271" s="9"/>
      <c r="AT271" s="9"/>
      <c r="AU271" s="309"/>
      <c r="AV271" s="309"/>
    </row>
    <row r="272" spans="32:48" ht="45" customHeight="1">
      <c r="AF272" s="264" t="s">
        <v>17</v>
      </c>
      <c r="AG272" s="722"/>
      <c r="AH272" s="9" t="s">
        <v>74</v>
      </c>
      <c r="AI272" s="3">
        <v>0.75</v>
      </c>
      <c r="AJ272" s="3">
        <v>0.82</v>
      </c>
      <c r="AK272" s="3">
        <f>IFERROR(AVERAGE(AI272,AJ272),"")</f>
        <v>0.78499999999999992</v>
      </c>
      <c r="AL272" s="4">
        <v>20</v>
      </c>
      <c r="AM272" s="4">
        <v>36.700000000000003</v>
      </c>
      <c r="AN272" s="9" t="s">
        <v>73</v>
      </c>
      <c r="AO272" s="256"/>
      <c r="AP272" s="256"/>
      <c r="AQ272" s="9"/>
      <c r="AR272" s="9"/>
      <c r="AS272" s="9"/>
      <c r="AT272" s="9"/>
      <c r="AU272" s="309"/>
      <c r="AV272" s="309"/>
    </row>
    <row r="273" spans="32:48" ht="45" customHeight="1">
      <c r="AF273" s="264" t="s">
        <v>1455</v>
      </c>
      <c r="AG273" s="722" t="s">
        <v>1205</v>
      </c>
      <c r="AH273" s="9" t="s">
        <v>74</v>
      </c>
      <c r="AI273" s="3">
        <v>0.65</v>
      </c>
      <c r="AJ273" s="3">
        <v>0.7</v>
      </c>
      <c r="AK273" s="3">
        <v>0.67500000000000004</v>
      </c>
      <c r="AL273" s="4">
        <v>18.333333333333332</v>
      </c>
      <c r="AM273" s="4">
        <v>20</v>
      </c>
      <c r="AN273" s="9" t="s">
        <v>1186</v>
      </c>
      <c r="AO273" s="256"/>
      <c r="AP273" s="256" t="s">
        <v>1765</v>
      </c>
      <c r="AQ273" s="9"/>
      <c r="AR273" s="9"/>
      <c r="AS273" s="9"/>
      <c r="AT273" s="9"/>
      <c r="AU273" s="309"/>
      <c r="AV273" s="309"/>
    </row>
    <row r="274" spans="32:48" ht="45" customHeight="1">
      <c r="AF274" s="264" t="s">
        <v>1456</v>
      </c>
      <c r="AG274" s="722" t="s">
        <v>1213</v>
      </c>
      <c r="AH274" s="9" t="s">
        <v>74</v>
      </c>
      <c r="AI274" s="3"/>
      <c r="AJ274" s="3"/>
      <c r="AK274" s="3"/>
      <c r="AL274" s="4">
        <v>15.555555555555555</v>
      </c>
      <c r="AM274" s="4">
        <v>35</v>
      </c>
      <c r="AN274" s="9"/>
      <c r="AO274" s="256"/>
      <c r="AP274" s="256" t="s">
        <v>1720</v>
      </c>
      <c r="AQ274" s="9"/>
      <c r="AR274" s="9"/>
      <c r="AS274" s="9"/>
      <c r="AT274" s="9"/>
      <c r="AU274" s="309"/>
      <c r="AV274" s="309"/>
    </row>
    <row r="275" spans="32:48" ht="45" customHeight="1">
      <c r="AF275" s="264" t="s">
        <v>1457</v>
      </c>
      <c r="AG275" s="722" t="s">
        <v>1205</v>
      </c>
      <c r="AH275" s="9" t="s">
        <v>74</v>
      </c>
      <c r="AI275" s="3">
        <v>0</v>
      </c>
      <c r="AJ275" s="3">
        <v>0</v>
      </c>
      <c r="AK275" s="3"/>
      <c r="AL275" s="4">
        <v>-17.777777777777779</v>
      </c>
      <c r="AM275" s="4">
        <v>-17.777777777777779</v>
      </c>
      <c r="AN275" s="9" t="s">
        <v>1409</v>
      </c>
      <c r="AO275" s="256"/>
      <c r="AP275" s="256" t="s">
        <v>1766</v>
      </c>
      <c r="AQ275" s="9"/>
      <c r="AR275" s="9"/>
      <c r="AS275" s="9"/>
      <c r="AT275" s="9"/>
      <c r="AU275" s="309"/>
      <c r="AV275" s="309"/>
    </row>
    <row r="276" spans="32:48" ht="45" customHeight="1">
      <c r="AF276" s="264" t="s">
        <v>1459</v>
      </c>
      <c r="AG276" s="722" t="s">
        <v>1213</v>
      </c>
      <c r="AH276" s="9" t="s">
        <v>74</v>
      </c>
      <c r="AI276" s="3">
        <v>0.71</v>
      </c>
      <c r="AJ276" s="3">
        <v>0.75</v>
      </c>
      <c r="AK276" s="3">
        <v>0.73</v>
      </c>
      <c r="AL276" s="4">
        <v>8.8888888888888893</v>
      </c>
      <c r="AM276" s="4">
        <v>13.333333333333334</v>
      </c>
      <c r="AN276" s="9" t="s">
        <v>1188</v>
      </c>
      <c r="AO276" s="256"/>
      <c r="AP276" s="256" t="s">
        <v>1768</v>
      </c>
      <c r="AQ276" s="9"/>
      <c r="AR276" s="9"/>
      <c r="AS276" s="9"/>
      <c r="AT276" s="9"/>
      <c r="AU276" s="309"/>
      <c r="AV276" s="309"/>
    </row>
    <row r="277" spans="32:48" ht="45" customHeight="1">
      <c r="AF277" s="264" t="s">
        <v>1458</v>
      </c>
      <c r="AG277" s="722" t="s">
        <v>1208</v>
      </c>
      <c r="AH277" s="9" t="s">
        <v>74</v>
      </c>
      <c r="AI277" s="3">
        <v>0.72</v>
      </c>
      <c r="AJ277" s="3">
        <v>0.76</v>
      </c>
      <c r="AK277" s="3">
        <v>0.74</v>
      </c>
      <c r="AL277" s="4">
        <v>8.8888888888888893</v>
      </c>
      <c r="AM277" s="4">
        <v>13.333333333333334</v>
      </c>
      <c r="AN277" s="9" t="s">
        <v>1429</v>
      </c>
      <c r="AO277" s="256"/>
      <c r="AP277" s="256" t="s">
        <v>1767</v>
      </c>
      <c r="AQ277" s="9"/>
      <c r="AR277" s="9"/>
      <c r="AS277" s="9"/>
      <c r="AT277" s="9"/>
      <c r="AU277" s="309"/>
      <c r="AV277" s="309"/>
    </row>
    <row r="278" spans="32:48" ht="45" customHeight="1">
      <c r="AF278" s="264" t="s">
        <v>1460</v>
      </c>
      <c r="AG278" s="722" t="s">
        <v>1205</v>
      </c>
      <c r="AH278" s="9" t="s">
        <v>74</v>
      </c>
      <c r="AI278" s="3">
        <v>0.72</v>
      </c>
      <c r="AJ278" s="3">
        <v>0.77</v>
      </c>
      <c r="AK278" s="3">
        <v>0.745</v>
      </c>
      <c r="AL278" s="4">
        <v>10</v>
      </c>
      <c r="AM278" s="4">
        <v>12.777777777777779</v>
      </c>
      <c r="AN278" s="9" t="s">
        <v>1196</v>
      </c>
      <c r="AO278" s="256"/>
      <c r="AP278" s="256" t="s">
        <v>1769</v>
      </c>
      <c r="AQ278" s="9"/>
      <c r="AR278" s="9"/>
      <c r="AS278" s="9"/>
      <c r="AT278" s="9"/>
      <c r="AU278" s="309"/>
      <c r="AV278" s="309"/>
    </row>
    <row r="279" spans="32:48" ht="45" customHeight="1">
      <c r="AF279" s="264" t="s">
        <v>2557</v>
      </c>
      <c r="AG279" s="722" t="s">
        <v>1905</v>
      </c>
      <c r="AH279" s="9" t="s">
        <v>2558</v>
      </c>
      <c r="AI279" s="3">
        <v>0.76</v>
      </c>
      <c r="AJ279" s="3">
        <v>0.8</v>
      </c>
      <c r="AK279" s="3"/>
      <c r="AL279" s="4">
        <v>22</v>
      </c>
      <c r="AM279" s="4">
        <v>26</v>
      </c>
      <c r="AN279" s="9" t="s">
        <v>1188</v>
      </c>
      <c r="AO279" s="256" t="s">
        <v>2559</v>
      </c>
      <c r="AP279" s="256" t="s">
        <v>2560</v>
      </c>
      <c r="AQ279" s="9"/>
      <c r="AR279" s="263">
        <v>15</v>
      </c>
      <c r="AS279" s="9"/>
      <c r="AT279" s="9"/>
      <c r="AU279" s="309"/>
      <c r="AV279" s="309"/>
    </row>
    <row r="280" spans="32:48" ht="45" customHeight="1">
      <c r="AF280" s="264" t="s">
        <v>1461</v>
      </c>
      <c r="AG280" s="722" t="s">
        <v>1205</v>
      </c>
      <c r="AH280" s="9" t="s">
        <v>74</v>
      </c>
      <c r="AI280" s="3">
        <v>0.7</v>
      </c>
      <c r="AJ280" s="3">
        <v>0.75</v>
      </c>
      <c r="AK280" s="3">
        <v>0.72499999999999998</v>
      </c>
      <c r="AL280" s="4">
        <v>19.444444444444443</v>
      </c>
      <c r="AM280" s="4">
        <v>21.111111111111111</v>
      </c>
      <c r="AN280" s="9" t="s">
        <v>1188</v>
      </c>
      <c r="AO280" s="256"/>
      <c r="AP280" s="256" t="s">
        <v>1770</v>
      </c>
      <c r="AQ280" s="9"/>
      <c r="AR280" s="9"/>
      <c r="AS280" s="9"/>
      <c r="AT280" s="9"/>
      <c r="AU280" s="309"/>
      <c r="AV280" s="309"/>
    </row>
    <row r="281" spans="32:48" ht="45" customHeight="1">
      <c r="AF281" s="264" t="s">
        <v>1462</v>
      </c>
      <c r="AG281" s="722" t="s">
        <v>1213</v>
      </c>
      <c r="AH281" s="9" t="s">
        <v>74</v>
      </c>
      <c r="AI281" s="3"/>
      <c r="AJ281" s="3"/>
      <c r="AK281" s="3"/>
      <c r="AL281" s="4">
        <v>8.8888888888888893</v>
      </c>
      <c r="AM281" s="4">
        <v>20</v>
      </c>
      <c r="AN281" s="9" t="s">
        <v>1198</v>
      </c>
      <c r="AO281" s="256"/>
      <c r="AP281" s="256" t="s">
        <v>1771</v>
      </c>
      <c r="AQ281" s="9"/>
      <c r="AR281" s="9"/>
      <c r="AS281" s="9"/>
      <c r="AT281" s="9"/>
      <c r="AU281" s="309"/>
      <c r="AV281" s="309"/>
    </row>
    <row r="282" spans="32:48" ht="45" customHeight="1">
      <c r="AF282" s="264" t="s">
        <v>1463</v>
      </c>
      <c r="AG282" s="722" t="s">
        <v>1213</v>
      </c>
      <c r="AH282" s="9" t="s">
        <v>74</v>
      </c>
      <c r="AI282" s="3">
        <v>0.68</v>
      </c>
      <c r="AJ282" s="3">
        <v>0.72</v>
      </c>
      <c r="AK282" s="3">
        <v>0.7</v>
      </c>
      <c r="AL282" s="4">
        <v>17.777777777777779</v>
      </c>
      <c r="AM282" s="4">
        <v>23.333333333333332</v>
      </c>
      <c r="AN282" s="9" t="s">
        <v>1186</v>
      </c>
      <c r="AO282" s="256"/>
      <c r="AP282" s="256" t="s">
        <v>1772</v>
      </c>
      <c r="AQ282" s="9"/>
      <c r="AR282" s="9"/>
      <c r="AS282" s="9"/>
      <c r="AT282" s="9"/>
      <c r="AU282" s="309"/>
      <c r="AV282" s="309"/>
    </row>
    <row r="283" spans="32:48" ht="45" customHeight="1">
      <c r="AF283" s="264" t="s">
        <v>1464</v>
      </c>
      <c r="AG283" s="722" t="s">
        <v>1213</v>
      </c>
      <c r="AH283" s="9" t="s">
        <v>74</v>
      </c>
      <c r="AI283" s="3">
        <v>0.7</v>
      </c>
      <c r="AJ283" s="3">
        <v>0.74</v>
      </c>
      <c r="AK283" s="3">
        <v>0.72</v>
      </c>
      <c r="AL283" s="4">
        <v>8.8888888888888893</v>
      </c>
      <c r="AM283" s="4">
        <v>13.333333333333334</v>
      </c>
      <c r="AN283" s="9" t="s">
        <v>1196</v>
      </c>
      <c r="AO283" s="256"/>
      <c r="AP283" s="256" t="s">
        <v>1773</v>
      </c>
      <c r="AQ283" s="9"/>
      <c r="AR283" s="9"/>
      <c r="AS283" s="9"/>
      <c r="AT283" s="9"/>
      <c r="AU283" s="309"/>
      <c r="AV283" s="309"/>
    </row>
    <row r="284" spans="32:48" ht="45" customHeight="1">
      <c r="AF284" s="264" t="s">
        <v>1465</v>
      </c>
      <c r="AG284" s="722" t="s">
        <v>1213</v>
      </c>
      <c r="AH284" s="9" t="s">
        <v>74</v>
      </c>
      <c r="AI284" s="3">
        <v>0.8</v>
      </c>
      <c r="AJ284" s="3">
        <v>0.8</v>
      </c>
      <c r="AK284" s="3">
        <v>0.8</v>
      </c>
      <c r="AL284" s="4">
        <v>18.333333333333332</v>
      </c>
      <c r="AM284" s="4">
        <v>29.444444444444443</v>
      </c>
      <c r="AN284" s="9" t="s">
        <v>1466</v>
      </c>
      <c r="AO284" s="256"/>
      <c r="AP284" s="256" t="s">
        <v>1774</v>
      </c>
      <c r="AQ284" s="9"/>
      <c r="AR284" s="9"/>
      <c r="AS284" s="9"/>
      <c r="AT284" s="9"/>
      <c r="AU284" s="309"/>
      <c r="AV284" s="309"/>
    </row>
    <row r="285" spans="32:48" ht="45" customHeight="1">
      <c r="AF285" s="264" t="s">
        <v>1467</v>
      </c>
      <c r="AG285" s="722" t="s">
        <v>1205</v>
      </c>
      <c r="AH285" s="9" t="s">
        <v>74</v>
      </c>
      <c r="AI285" s="3">
        <v>0.85</v>
      </c>
      <c r="AJ285" s="3">
        <v>0</v>
      </c>
      <c r="AK285" s="3">
        <v>0.85</v>
      </c>
      <c r="AL285" s="4">
        <v>21.111111111111111</v>
      </c>
      <c r="AM285" s="4">
        <v>29.444444444444443</v>
      </c>
      <c r="AN285" s="9" t="s">
        <v>1198</v>
      </c>
      <c r="AO285" s="256"/>
      <c r="AP285" s="256" t="s">
        <v>1775</v>
      </c>
      <c r="AQ285" s="9"/>
      <c r="AR285" s="9"/>
      <c r="AS285" s="9"/>
      <c r="AT285" s="9"/>
      <c r="AU285" s="309"/>
      <c r="AV285" s="309"/>
    </row>
    <row r="286" spans="32:48" ht="45" customHeight="1">
      <c r="AF286" s="264" t="s">
        <v>1468</v>
      </c>
      <c r="AG286" s="722" t="s">
        <v>1469</v>
      </c>
      <c r="AH286" s="9" t="s">
        <v>72</v>
      </c>
      <c r="AI286" s="3">
        <v>0</v>
      </c>
      <c r="AJ286" s="3">
        <v>0</v>
      </c>
      <c r="AK286" s="3">
        <v>0.9</v>
      </c>
      <c r="AL286" s="4">
        <v>18.000000000000004</v>
      </c>
      <c r="AM286" s="4">
        <v>28.000000000000004</v>
      </c>
      <c r="AN286" s="9"/>
      <c r="AO286" s="256"/>
      <c r="AP286" s="256" t="s">
        <v>1776</v>
      </c>
      <c r="AQ286" s="9"/>
      <c r="AR286" s="9"/>
      <c r="AS286" s="9"/>
      <c r="AT286" s="9"/>
      <c r="AU286" s="309"/>
      <c r="AV286" s="309"/>
    </row>
    <row r="287" spans="32:48" ht="45" customHeight="1">
      <c r="AF287" s="264" t="s">
        <v>1470</v>
      </c>
      <c r="AG287" s="722" t="s">
        <v>1469</v>
      </c>
      <c r="AH287" s="9" t="s">
        <v>72</v>
      </c>
      <c r="AI287" s="3">
        <v>0</v>
      </c>
      <c r="AJ287" s="3">
        <v>0</v>
      </c>
      <c r="AK287" s="3">
        <v>0.82</v>
      </c>
      <c r="AL287" s="4">
        <v>15</v>
      </c>
      <c r="AM287" s="4">
        <v>20</v>
      </c>
      <c r="AN287" s="9"/>
      <c r="AO287" s="256"/>
      <c r="AP287" s="256" t="s">
        <v>1777</v>
      </c>
      <c r="AQ287" s="9"/>
      <c r="AR287" s="9"/>
      <c r="AS287" s="9"/>
      <c r="AT287" s="9"/>
      <c r="AU287" s="309"/>
      <c r="AV287" s="309"/>
    </row>
    <row r="288" spans="32:48" ht="45" customHeight="1">
      <c r="AF288" s="264" t="s">
        <v>1471</v>
      </c>
      <c r="AG288" s="722" t="s">
        <v>1469</v>
      </c>
      <c r="AH288" s="9" t="s">
        <v>72</v>
      </c>
      <c r="AI288" s="3">
        <v>0</v>
      </c>
      <c r="AJ288" s="3">
        <v>0</v>
      </c>
      <c r="AK288" s="3"/>
      <c r="AL288" s="4">
        <v>15</v>
      </c>
      <c r="AM288" s="4">
        <v>25</v>
      </c>
      <c r="AN288" s="9"/>
      <c r="AO288" s="256"/>
      <c r="AP288" s="256" t="s">
        <v>1778</v>
      </c>
      <c r="AQ288" s="9"/>
      <c r="AR288" s="9"/>
      <c r="AS288" s="9"/>
      <c r="AT288" s="9"/>
      <c r="AU288" s="309"/>
      <c r="AV288" s="309"/>
    </row>
    <row r="289" spans="32:48" ht="45" customHeight="1">
      <c r="AF289" s="264" t="s">
        <v>1472</v>
      </c>
      <c r="AG289" s="722" t="s">
        <v>1469</v>
      </c>
      <c r="AH289" s="9" t="s">
        <v>72</v>
      </c>
      <c r="AI289" s="3">
        <v>0</v>
      </c>
      <c r="AJ289" s="3">
        <v>0</v>
      </c>
      <c r="AK289" s="3">
        <v>0.81</v>
      </c>
      <c r="AL289" s="4">
        <v>15</v>
      </c>
      <c r="AM289" s="4">
        <v>20</v>
      </c>
      <c r="AN289" s="9"/>
      <c r="AO289" s="256"/>
      <c r="AP289" s="256" t="s">
        <v>1779</v>
      </c>
      <c r="AQ289" s="9"/>
      <c r="AR289" s="9"/>
      <c r="AS289" s="9"/>
      <c r="AT289" s="9"/>
      <c r="AU289" s="309"/>
      <c r="AV289" s="309"/>
    </row>
    <row r="290" spans="32:48" ht="45" customHeight="1">
      <c r="AF290" s="264" t="s">
        <v>1473</v>
      </c>
      <c r="AG290" s="722" t="s">
        <v>1469</v>
      </c>
      <c r="AH290" s="9" t="s">
        <v>72</v>
      </c>
      <c r="AI290" s="3">
        <v>0</v>
      </c>
      <c r="AJ290" s="3">
        <v>0</v>
      </c>
      <c r="AK290" s="3">
        <v>0.79</v>
      </c>
      <c r="AL290" s="4">
        <v>15</v>
      </c>
      <c r="AM290" s="4">
        <v>20</v>
      </c>
      <c r="AN290" s="9"/>
      <c r="AO290" s="256"/>
      <c r="AP290" s="256" t="s">
        <v>1780</v>
      </c>
      <c r="AQ290" s="9"/>
      <c r="AR290" s="9"/>
      <c r="AS290" s="9"/>
      <c r="AT290" s="9"/>
      <c r="AU290" s="309"/>
      <c r="AV290" s="309"/>
    </row>
    <row r="291" spans="32:48" ht="45" customHeight="1">
      <c r="AF291" s="264" t="s">
        <v>825</v>
      </c>
      <c r="AG291" s="722" t="s">
        <v>1469</v>
      </c>
      <c r="AH291" s="9" t="s">
        <v>72</v>
      </c>
      <c r="AI291" s="3">
        <v>0.68</v>
      </c>
      <c r="AJ291" s="3">
        <v>0.72</v>
      </c>
      <c r="AK291" s="3">
        <f>IFERROR(AVERAGE(AI291,AJ291),"")</f>
        <v>0.7</v>
      </c>
      <c r="AL291" s="4">
        <v>15</v>
      </c>
      <c r="AM291" s="4">
        <v>20</v>
      </c>
      <c r="AN291" s="9" t="s">
        <v>73</v>
      </c>
      <c r="AO291" s="256" t="s">
        <v>818</v>
      </c>
      <c r="AP291" s="256" t="s">
        <v>826</v>
      </c>
      <c r="AQ291" s="9"/>
      <c r="AR291" s="263">
        <v>10</v>
      </c>
      <c r="AS291" s="9"/>
      <c r="AT291" s="9"/>
      <c r="AU291" s="309"/>
      <c r="AV291" s="309"/>
    </row>
    <row r="292" spans="32:48" ht="45" customHeight="1">
      <c r="AF292" s="264" t="s">
        <v>825</v>
      </c>
      <c r="AG292" s="722" t="s">
        <v>1469</v>
      </c>
      <c r="AH292" s="9" t="s">
        <v>72</v>
      </c>
      <c r="AI292" s="3">
        <v>0</v>
      </c>
      <c r="AJ292" s="3">
        <v>0</v>
      </c>
      <c r="AK292" s="3">
        <v>0.75</v>
      </c>
      <c r="AL292" s="4">
        <v>15</v>
      </c>
      <c r="AM292" s="4">
        <v>20</v>
      </c>
      <c r="AN292" s="9"/>
      <c r="AO292" s="256"/>
      <c r="AP292" s="256" t="s">
        <v>1781</v>
      </c>
      <c r="AQ292" s="9"/>
      <c r="AR292" s="9"/>
      <c r="AS292" s="9"/>
      <c r="AT292" s="9"/>
      <c r="AU292" s="309"/>
      <c r="AV292" s="309"/>
    </row>
    <row r="293" spans="32:48" ht="45" customHeight="1">
      <c r="AF293" s="264" t="s">
        <v>820</v>
      </c>
      <c r="AG293" s="722" t="s">
        <v>1469</v>
      </c>
      <c r="AH293" s="9" t="s">
        <v>72</v>
      </c>
      <c r="AI293" s="3"/>
      <c r="AJ293" s="3"/>
      <c r="AK293" s="3" t="str">
        <f>IFERROR(AVERAGE(AI293,AJ293),"")</f>
        <v/>
      </c>
      <c r="AL293" s="4">
        <v>15</v>
      </c>
      <c r="AM293" s="4">
        <v>24</v>
      </c>
      <c r="AN293" s="9" t="s">
        <v>73</v>
      </c>
      <c r="AO293" s="256" t="s">
        <v>823</v>
      </c>
      <c r="AP293" s="256" t="s">
        <v>822</v>
      </c>
      <c r="AQ293" s="9"/>
      <c r="AR293" s="262">
        <v>11.5</v>
      </c>
      <c r="AS293" s="9"/>
      <c r="AT293" s="9"/>
      <c r="AU293" s="309"/>
      <c r="AV293" s="309"/>
    </row>
    <row r="294" spans="32:48" ht="45" customHeight="1">
      <c r="AF294" s="264" t="s">
        <v>820</v>
      </c>
      <c r="AG294" s="722" t="s">
        <v>1469</v>
      </c>
      <c r="AH294" s="9" t="s">
        <v>72</v>
      </c>
      <c r="AI294" s="3">
        <v>0</v>
      </c>
      <c r="AJ294" s="3">
        <v>0</v>
      </c>
      <c r="AK294" s="3">
        <v>0.75</v>
      </c>
      <c r="AL294" s="4">
        <v>15</v>
      </c>
      <c r="AM294" s="4">
        <v>20</v>
      </c>
      <c r="AN294" s="9"/>
      <c r="AO294" s="256"/>
      <c r="AP294" s="256" t="s">
        <v>1782</v>
      </c>
      <c r="AQ294" s="9"/>
      <c r="AR294" s="9"/>
      <c r="AS294" s="9"/>
      <c r="AT294" s="9"/>
      <c r="AU294" s="309"/>
      <c r="AV294" s="309"/>
    </row>
    <row r="295" spans="32:48" ht="45" customHeight="1">
      <c r="AF295" s="264" t="s">
        <v>821</v>
      </c>
      <c r="AG295" s="722" t="s">
        <v>1469</v>
      </c>
      <c r="AH295" s="9" t="s">
        <v>72</v>
      </c>
      <c r="AI295" s="3">
        <v>0.78</v>
      </c>
      <c r="AJ295" s="3">
        <v>0.82</v>
      </c>
      <c r="AK295" s="3">
        <f>IFERROR(AVERAGE(AI295,AJ295),"")</f>
        <v>0.8</v>
      </c>
      <c r="AL295" s="4">
        <v>15</v>
      </c>
      <c r="AM295" s="4">
        <v>24</v>
      </c>
      <c r="AN295" s="9" t="s">
        <v>73</v>
      </c>
      <c r="AO295" s="256" t="s">
        <v>819</v>
      </c>
      <c r="AP295" s="256"/>
      <c r="AQ295" s="9"/>
      <c r="AR295" s="263">
        <v>10</v>
      </c>
      <c r="AS295" s="9"/>
      <c r="AT295" s="9"/>
      <c r="AU295" s="309"/>
      <c r="AV295" s="309"/>
    </row>
    <row r="296" spans="32:48" ht="45" customHeight="1">
      <c r="AF296" s="264" t="s">
        <v>821</v>
      </c>
      <c r="AG296" s="722" t="s">
        <v>1469</v>
      </c>
      <c r="AH296" s="9" t="s">
        <v>72</v>
      </c>
      <c r="AI296" s="3"/>
      <c r="AJ296" s="3"/>
      <c r="AK296" s="3">
        <v>0.81</v>
      </c>
      <c r="AL296" s="4">
        <v>17.777777777777779</v>
      </c>
      <c r="AM296" s="4">
        <v>27.777777777777779</v>
      </c>
      <c r="AN296" s="9" t="s">
        <v>1188</v>
      </c>
      <c r="AO296" s="256"/>
      <c r="AP296" s="256" t="s">
        <v>1783</v>
      </c>
      <c r="AQ296" s="9"/>
      <c r="AR296" s="9"/>
      <c r="AS296" s="9"/>
      <c r="AT296" s="9"/>
      <c r="AU296" s="309"/>
      <c r="AV296" s="309"/>
    </row>
    <row r="297" spans="32:48" ht="45" customHeight="1">
      <c r="AF297" s="264" t="s">
        <v>1474</v>
      </c>
      <c r="AG297" s="722" t="s">
        <v>1469</v>
      </c>
      <c r="AH297" s="9" t="s">
        <v>72</v>
      </c>
      <c r="AI297" s="3"/>
      <c r="AJ297" s="3"/>
      <c r="AK297" s="3">
        <v>0.86</v>
      </c>
      <c r="AL297" s="4">
        <v>17.777777777777779</v>
      </c>
      <c r="AM297" s="4">
        <v>23.888888888888889</v>
      </c>
      <c r="AN297" s="9" t="s">
        <v>1186</v>
      </c>
      <c r="AO297" s="256"/>
      <c r="AP297" s="256" t="s">
        <v>1784</v>
      </c>
      <c r="AQ297" s="9"/>
      <c r="AR297" s="9"/>
      <c r="AS297" s="9"/>
      <c r="AT297" s="9"/>
      <c r="AU297" s="309"/>
      <c r="AV297" s="309"/>
    </row>
    <row r="298" spans="32:48" ht="45" customHeight="1">
      <c r="AF298" s="264" t="s">
        <v>1475</v>
      </c>
      <c r="AG298" s="722" t="s">
        <v>1469</v>
      </c>
      <c r="AH298" s="9" t="s">
        <v>72</v>
      </c>
      <c r="AI298" s="3">
        <v>0</v>
      </c>
      <c r="AJ298" s="3">
        <v>0</v>
      </c>
      <c r="AK298" s="3">
        <v>0.84</v>
      </c>
      <c r="AL298" s="4">
        <v>12</v>
      </c>
      <c r="AM298" s="4">
        <v>15</v>
      </c>
      <c r="AN298" s="9"/>
      <c r="AO298" s="256"/>
      <c r="AP298" s="256" t="s">
        <v>1785</v>
      </c>
      <c r="AQ298" s="9"/>
      <c r="AR298" s="9"/>
      <c r="AS298" s="9"/>
      <c r="AT298" s="9"/>
      <c r="AU298" s="309"/>
      <c r="AV298" s="309"/>
    </row>
    <row r="299" spans="32:48" ht="45" customHeight="1">
      <c r="AF299" s="264" t="s">
        <v>1476</v>
      </c>
      <c r="AG299" s="722" t="s">
        <v>1469</v>
      </c>
      <c r="AH299" s="9" t="s">
        <v>72</v>
      </c>
      <c r="AI299" s="3">
        <v>0.8</v>
      </c>
      <c r="AJ299" s="3">
        <v>0</v>
      </c>
      <c r="AK299" s="3">
        <v>0.8</v>
      </c>
      <c r="AL299" s="4">
        <v>8.8888888888888893</v>
      </c>
      <c r="AM299" s="4">
        <v>15</v>
      </c>
      <c r="AN299" s="9" t="s">
        <v>1196</v>
      </c>
      <c r="AO299" s="256"/>
      <c r="AP299" s="256" t="s">
        <v>1786</v>
      </c>
      <c r="AQ299" s="9"/>
      <c r="AR299" s="9"/>
      <c r="AS299" s="9"/>
      <c r="AT299" s="9"/>
      <c r="AU299" s="309"/>
      <c r="AV299" s="309"/>
    </row>
    <row r="300" spans="32:48" ht="45" customHeight="1">
      <c r="AF300" s="264" t="s">
        <v>1477</v>
      </c>
      <c r="AG300" s="722" t="s">
        <v>1469</v>
      </c>
      <c r="AH300" s="9" t="s">
        <v>72</v>
      </c>
      <c r="AI300" s="3">
        <v>0.8</v>
      </c>
      <c r="AJ300" s="3">
        <v>0.84</v>
      </c>
      <c r="AK300" s="3">
        <v>0.82</v>
      </c>
      <c r="AL300" s="4">
        <v>12.222222222222221</v>
      </c>
      <c r="AM300" s="4">
        <v>17.777777777777779</v>
      </c>
      <c r="AN300" s="9" t="s">
        <v>1186</v>
      </c>
      <c r="AO300" s="256"/>
      <c r="AP300" s="256" t="s">
        <v>1787</v>
      </c>
      <c r="AQ300" s="9"/>
      <c r="AR300" s="9"/>
      <c r="AS300" s="9"/>
      <c r="AT300" s="9"/>
      <c r="AU300" s="309"/>
      <c r="AV300" s="309"/>
    </row>
    <row r="301" spans="32:48" ht="45" customHeight="1">
      <c r="AF301" s="264" t="s">
        <v>1478</v>
      </c>
      <c r="AG301" s="722" t="s">
        <v>1236</v>
      </c>
      <c r="AH301" s="9" t="s">
        <v>74</v>
      </c>
      <c r="AI301" s="3"/>
      <c r="AJ301" s="3"/>
      <c r="AK301" s="3">
        <v>0.8</v>
      </c>
      <c r="AL301" s="4">
        <v>23.888888888888889</v>
      </c>
      <c r="AM301" s="4">
        <v>29.444444444444443</v>
      </c>
      <c r="AN301" s="9" t="s">
        <v>1188</v>
      </c>
      <c r="AO301" s="256"/>
      <c r="AP301" s="256" t="s">
        <v>1788</v>
      </c>
      <c r="AQ301" s="9"/>
      <c r="AR301" s="9"/>
      <c r="AS301" s="9"/>
      <c r="AT301" s="9"/>
      <c r="AU301" s="309"/>
      <c r="AV301" s="309"/>
    </row>
    <row r="302" spans="32:48" ht="45" customHeight="1">
      <c r="AF302" s="264" t="s">
        <v>1479</v>
      </c>
      <c r="AG302" s="722" t="s">
        <v>1236</v>
      </c>
      <c r="AH302" s="9" t="s">
        <v>74</v>
      </c>
      <c r="AI302" s="3"/>
      <c r="AJ302" s="3"/>
      <c r="AK302" s="3">
        <v>0.77</v>
      </c>
      <c r="AL302" s="4">
        <v>23.888888888888889</v>
      </c>
      <c r="AM302" s="4">
        <v>27.777777777777779</v>
      </c>
      <c r="AN302" s="9" t="s">
        <v>1188</v>
      </c>
      <c r="AO302" s="256"/>
      <c r="AP302" s="256" t="s">
        <v>1789</v>
      </c>
      <c r="AQ302" s="9"/>
      <c r="AR302" s="9"/>
      <c r="AS302" s="9"/>
      <c r="AT302" s="9"/>
      <c r="AU302" s="309"/>
      <c r="AV302" s="309"/>
    </row>
    <row r="303" spans="32:48" ht="45" customHeight="1">
      <c r="AF303" s="264" t="s">
        <v>1480</v>
      </c>
      <c r="AG303" s="722" t="s">
        <v>1208</v>
      </c>
      <c r="AH303" s="9" t="s">
        <v>74</v>
      </c>
      <c r="AI303" s="3">
        <v>0.8</v>
      </c>
      <c r="AJ303" s="3">
        <v>0.9</v>
      </c>
      <c r="AK303" s="3">
        <v>0.85</v>
      </c>
      <c r="AL303" s="4">
        <v>18.333333333333332</v>
      </c>
      <c r="AM303" s="4">
        <v>25.555555555555557</v>
      </c>
      <c r="AN303" s="9" t="s">
        <v>1198</v>
      </c>
      <c r="AO303" s="256"/>
      <c r="AP303" s="256" t="s">
        <v>1790</v>
      </c>
      <c r="AQ303" s="9"/>
      <c r="AR303" s="9"/>
      <c r="AS303" s="9"/>
      <c r="AT303" s="9"/>
      <c r="AU303" s="309"/>
      <c r="AV303" s="309"/>
    </row>
    <row r="304" spans="32:48" ht="45" customHeight="1">
      <c r="AF304" s="264" t="s">
        <v>1481</v>
      </c>
      <c r="AG304" s="722" t="s">
        <v>1205</v>
      </c>
      <c r="AH304" s="9" t="s">
        <v>74</v>
      </c>
      <c r="AI304" s="3"/>
      <c r="AJ304" s="3"/>
      <c r="AK304" s="3">
        <v>0.75</v>
      </c>
      <c r="AL304" s="4">
        <v>18.333333333333332</v>
      </c>
      <c r="AM304" s="4">
        <v>20</v>
      </c>
      <c r="AN304" s="9" t="s">
        <v>1196</v>
      </c>
      <c r="AO304" s="256"/>
      <c r="AP304" s="256" t="s">
        <v>1791</v>
      </c>
      <c r="AQ304" s="9"/>
      <c r="AR304" s="9"/>
      <c r="AS304" s="9"/>
      <c r="AT304" s="9"/>
      <c r="AU304" s="309"/>
      <c r="AV304" s="309"/>
    </row>
    <row r="305" spans="32:48" ht="45" customHeight="1">
      <c r="AF305" s="264" t="s">
        <v>1482</v>
      </c>
      <c r="AG305" s="722" t="s">
        <v>1205</v>
      </c>
      <c r="AH305" s="9" t="s">
        <v>74</v>
      </c>
      <c r="AI305" s="3">
        <v>0.65</v>
      </c>
      <c r="AJ305" s="3">
        <v>0.7</v>
      </c>
      <c r="AK305" s="3">
        <v>0.67500000000000004</v>
      </c>
      <c r="AL305" s="4">
        <v>14.444444444444445</v>
      </c>
      <c r="AM305" s="4">
        <v>18.333333333333332</v>
      </c>
      <c r="AN305" s="9" t="s">
        <v>1186</v>
      </c>
      <c r="AO305" s="256"/>
      <c r="AP305" s="256" t="s">
        <v>1792</v>
      </c>
      <c r="AQ305" s="9"/>
      <c r="AR305" s="9"/>
      <c r="AS305" s="9"/>
      <c r="AT305" s="9"/>
      <c r="AU305" s="309"/>
      <c r="AV305" s="309"/>
    </row>
    <row r="306" spans="32:48" ht="45" customHeight="1">
      <c r="AF306" s="264" t="s">
        <v>2564</v>
      </c>
      <c r="AG306" s="722"/>
      <c r="AH306" s="9" t="s">
        <v>74</v>
      </c>
      <c r="AI306" s="3">
        <v>0.65</v>
      </c>
      <c r="AJ306" s="3">
        <v>0.7</v>
      </c>
      <c r="AK306" s="3">
        <f>IFERROR(AVERAGE(AI306,AJ306),"")</f>
        <v>0.67500000000000004</v>
      </c>
      <c r="AL306" s="4">
        <v>14.4</v>
      </c>
      <c r="AM306" s="4">
        <v>18.3</v>
      </c>
      <c r="AN306" s="9" t="s">
        <v>77</v>
      </c>
      <c r="AO306" s="256"/>
      <c r="AP306" s="256"/>
      <c r="AQ306" s="9"/>
      <c r="AR306" s="9"/>
      <c r="AS306" s="9"/>
      <c r="AT306" s="9"/>
      <c r="AU306" s="309"/>
      <c r="AV306" s="309"/>
    </row>
    <row r="307" spans="32:48" ht="45" customHeight="1">
      <c r="AF307" s="264" t="s">
        <v>1483</v>
      </c>
      <c r="AG307" s="722" t="s">
        <v>1205</v>
      </c>
      <c r="AH307" s="9" t="s">
        <v>74</v>
      </c>
      <c r="AI307" s="3">
        <v>0.75</v>
      </c>
      <c r="AJ307" s="3">
        <v>0.8</v>
      </c>
      <c r="AK307" s="3">
        <v>0.77500000000000002</v>
      </c>
      <c r="AL307" s="4">
        <v>22.222222222222221</v>
      </c>
      <c r="AM307" s="4">
        <v>25</v>
      </c>
      <c r="AN307" s="9" t="s">
        <v>1188</v>
      </c>
      <c r="AO307" s="256"/>
      <c r="AP307" s="256" t="s">
        <v>1793</v>
      </c>
      <c r="AQ307" s="9"/>
      <c r="AR307" s="9"/>
      <c r="AS307" s="9"/>
      <c r="AT307" s="9"/>
      <c r="AU307" s="309"/>
      <c r="AV307" s="309"/>
    </row>
    <row r="308" spans="32:48" ht="45" customHeight="1">
      <c r="AF308" s="264" t="s">
        <v>1484</v>
      </c>
      <c r="AG308" s="722" t="s">
        <v>1213</v>
      </c>
      <c r="AH308" s="9" t="s">
        <v>74</v>
      </c>
      <c r="AI308" s="3">
        <v>0.69</v>
      </c>
      <c r="AJ308" s="3">
        <v>0.73</v>
      </c>
      <c r="AK308" s="3">
        <v>0.71</v>
      </c>
      <c r="AL308" s="4">
        <v>12.777777777777779</v>
      </c>
      <c r="AM308" s="4">
        <v>23.888888888888889</v>
      </c>
      <c r="AN308" s="9" t="s">
        <v>1186</v>
      </c>
      <c r="AO308" s="256"/>
      <c r="AP308" s="256" t="s">
        <v>1794</v>
      </c>
      <c r="AQ308" s="9"/>
      <c r="AR308" s="9"/>
      <c r="AS308" s="9"/>
      <c r="AT308" s="9"/>
      <c r="AU308" s="309"/>
      <c r="AV308" s="309"/>
    </row>
    <row r="309" spans="32:48" ht="45" customHeight="1">
      <c r="AF309" s="264" t="s">
        <v>1485</v>
      </c>
      <c r="AG309" s="722" t="s">
        <v>1236</v>
      </c>
      <c r="AH309" s="9" t="s">
        <v>74</v>
      </c>
      <c r="AI309" s="3">
        <v>0.77</v>
      </c>
      <c r="AJ309" s="3">
        <v>0.8</v>
      </c>
      <c r="AK309" s="3">
        <v>0.78500000000000003</v>
      </c>
      <c r="AL309" s="4">
        <v>15.555555555555555</v>
      </c>
      <c r="AM309" s="4">
        <v>20</v>
      </c>
      <c r="AN309" s="9" t="s">
        <v>1188</v>
      </c>
      <c r="AO309" s="256"/>
      <c r="AP309" s="256" t="s">
        <v>1795</v>
      </c>
      <c r="AQ309" s="9"/>
      <c r="AR309" s="9"/>
      <c r="AS309" s="9"/>
      <c r="AT309" s="9"/>
      <c r="AU309" s="309"/>
      <c r="AV309" s="309"/>
    </row>
    <row r="310" spans="32:48" ht="45" customHeight="1">
      <c r="AF310" s="264" t="s">
        <v>1486</v>
      </c>
      <c r="AG310" s="722" t="s">
        <v>1236</v>
      </c>
      <c r="AH310" s="9" t="s">
        <v>74</v>
      </c>
      <c r="AI310" s="3">
        <v>0</v>
      </c>
      <c r="AJ310" s="3">
        <v>0</v>
      </c>
      <c r="AK310" s="3">
        <v>0.75</v>
      </c>
      <c r="AL310" s="4">
        <v>16.666666666666668</v>
      </c>
      <c r="AM310" s="4">
        <v>20</v>
      </c>
      <c r="AN310" s="9"/>
      <c r="AO310" s="256"/>
      <c r="AP310" s="256" t="s">
        <v>1796</v>
      </c>
      <c r="AQ310" s="9"/>
      <c r="AR310" s="9"/>
      <c r="AS310" s="9"/>
      <c r="AT310" s="9"/>
      <c r="AU310" s="309"/>
      <c r="AV310" s="309"/>
    </row>
    <row r="311" spans="32:48" ht="45" customHeight="1">
      <c r="AF311" s="264" t="s">
        <v>2563</v>
      </c>
      <c r="AG311" s="722"/>
      <c r="AH311" s="9" t="s">
        <v>74</v>
      </c>
      <c r="AI311" s="3">
        <v>0.76</v>
      </c>
      <c r="AJ311" s="3">
        <v>0.82</v>
      </c>
      <c r="AK311" s="3">
        <f>IFERROR(AVERAGE(AI311,AJ311),"")</f>
        <v>0.79</v>
      </c>
      <c r="AL311" s="4">
        <v>24</v>
      </c>
      <c r="AM311" s="4">
        <v>35</v>
      </c>
      <c r="AN311" s="9" t="s">
        <v>77</v>
      </c>
      <c r="AO311" s="256"/>
      <c r="AP311" s="256"/>
      <c r="AQ311" s="9"/>
      <c r="AR311" s="9"/>
      <c r="AS311" s="9"/>
      <c r="AT311" s="9"/>
      <c r="AU311" s="309"/>
      <c r="AV311" s="309"/>
    </row>
    <row r="312" spans="32:48" ht="45" customHeight="1">
      <c r="AF312" s="264" t="s">
        <v>1488</v>
      </c>
      <c r="AG312" s="722" t="s">
        <v>1205</v>
      </c>
      <c r="AH312" s="9" t="s">
        <v>74</v>
      </c>
      <c r="AI312" s="3">
        <v>0.68</v>
      </c>
      <c r="AJ312" s="3">
        <v>0.76</v>
      </c>
      <c r="AK312" s="3">
        <v>0.72</v>
      </c>
      <c r="AL312" s="4">
        <v>10</v>
      </c>
      <c r="AM312" s="4">
        <v>12.777777777777779</v>
      </c>
      <c r="AN312" s="9" t="s">
        <v>1196</v>
      </c>
      <c r="AO312" s="256"/>
      <c r="AP312" s="256" t="s">
        <v>1798</v>
      </c>
      <c r="AQ312" s="9"/>
      <c r="AR312" s="9"/>
      <c r="AS312" s="9"/>
      <c r="AT312" s="9"/>
      <c r="AU312" s="309"/>
      <c r="AV312" s="309"/>
    </row>
    <row r="313" spans="32:48" ht="45" customHeight="1">
      <c r="AF313" s="264" t="s">
        <v>1487</v>
      </c>
      <c r="AG313" s="722" t="s">
        <v>1205</v>
      </c>
      <c r="AH313" s="9" t="s">
        <v>74</v>
      </c>
      <c r="AI313" s="3">
        <v>0.7</v>
      </c>
      <c r="AJ313" s="3">
        <v>0.74</v>
      </c>
      <c r="AK313" s="3">
        <v>0.72</v>
      </c>
      <c r="AL313" s="4">
        <v>18.888888888888889</v>
      </c>
      <c r="AM313" s="4">
        <v>21.111111111111111</v>
      </c>
      <c r="AN313" s="9" t="s">
        <v>1188</v>
      </c>
      <c r="AO313" s="256"/>
      <c r="AP313" s="256" t="s">
        <v>1797</v>
      </c>
      <c r="AQ313" s="9"/>
      <c r="AR313" s="9"/>
      <c r="AS313" s="9"/>
      <c r="AT313" s="9"/>
      <c r="AU313" s="309"/>
      <c r="AV313" s="309"/>
    </row>
    <row r="314" spans="32:48" ht="45" customHeight="1">
      <c r="AF314" s="264" t="s">
        <v>1489</v>
      </c>
      <c r="AG314" s="722" t="s">
        <v>1205</v>
      </c>
      <c r="AH314" s="9" t="s">
        <v>74</v>
      </c>
      <c r="AI314" s="3">
        <v>0.68</v>
      </c>
      <c r="AJ314" s="3">
        <v>0.75</v>
      </c>
      <c r="AK314" s="3">
        <v>0.71499999999999997</v>
      </c>
      <c r="AL314" s="4">
        <v>18.888888888888889</v>
      </c>
      <c r="AM314" s="4">
        <v>20.555555555555557</v>
      </c>
      <c r="AN314" s="9" t="s">
        <v>1188</v>
      </c>
      <c r="AO314" s="256"/>
      <c r="AP314" s="256" t="s">
        <v>1799</v>
      </c>
      <c r="AQ314" s="9"/>
      <c r="AR314" s="9"/>
      <c r="AS314" s="9"/>
      <c r="AT314" s="9"/>
      <c r="AU314" s="309"/>
      <c r="AV314" s="309"/>
    </row>
    <row r="315" spans="32:48" ht="45" customHeight="1">
      <c r="AF315" s="264" t="s">
        <v>1490</v>
      </c>
      <c r="AG315" s="722" t="s">
        <v>1213</v>
      </c>
      <c r="AH315" s="9" t="s">
        <v>74</v>
      </c>
      <c r="AI315" s="3">
        <v>0.7</v>
      </c>
      <c r="AJ315" s="3">
        <v>0.74</v>
      </c>
      <c r="AK315" s="3">
        <v>0.72</v>
      </c>
      <c r="AL315" s="4">
        <v>10</v>
      </c>
      <c r="AM315" s="4">
        <v>14.444444444444445</v>
      </c>
      <c r="AN315" s="9" t="s">
        <v>1188</v>
      </c>
      <c r="AO315" s="256"/>
      <c r="AP315" s="256" t="s">
        <v>1800</v>
      </c>
      <c r="AQ315" s="9"/>
      <c r="AR315" s="9"/>
      <c r="AS315" s="9"/>
      <c r="AT315" s="9"/>
      <c r="AU315" s="309"/>
      <c r="AV315" s="309"/>
    </row>
    <row r="316" spans="32:48" ht="45" customHeight="1">
      <c r="AF316" s="264" t="s">
        <v>1491</v>
      </c>
      <c r="AG316" s="722" t="s">
        <v>1205</v>
      </c>
      <c r="AH316" s="9" t="s">
        <v>74</v>
      </c>
      <c r="AI316" s="3"/>
      <c r="AJ316" s="3"/>
      <c r="AK316" s="3">
        <v>0.82</v>
      </c>
      <c r="AL316" s="4">
        <v>18.333333333333332</v>
      </c>
      <c r="AM316" s="4">
        <v>20.555555555555557</v>
      </c>
      <c r="AN316" s="9" t="s">
        <v>1188</v>
      </c>
      <c r="AO316" s="256"/>
      <c r="AP316" s="256" t="s">
        <v>1801</v>
      </c>
      <c r="AQ316" s="9"/>
      <c r="AR316" s="9"/>
      <c r="AS316" s="9"/>
      <c r="AT316" s="9"/>
      <c r="AU316" s="309"/>
      <c r="AV316" s="309"/>
    </row>
    <row r="317" spans="32:48" ht="45" customHeight="1">
      <c r="AF317" s="264" t="s">
        <v>1492</v>
      </c>
      <c r="AG317" s="722" t="s">
        <v>1205</v>
      </c>
      <c r="AH317" s="9" t="s">
        <v>74</v>
      </c>
      <c r="AI317" s="3">
        <v>0.75</v>
      </c>
      <c r="AJ317" s="3">
        <v>0.8</v>
      </c>
      <c r="AK317" s="3">
        <v>0.77500000000000002</v>
      </c>
      <c r="AL317" s="4">
        <v>23.888888888888889</v>
      </c>
      <c r="AM317" s="4">
        <v>26.111111111111111</v>
      </c>
      <c r="AN317" s="9" t="s">
        <v>1188</v>
      </c>
      <c r="AO317" s="256"/>
      <c r="AP317" s="256" t="s">
        <v>1802</v>
      </c>
      <c r="AQ317" s="9"/>
      <c r="AR317" s="9"/>
      <c r="AS317" s="9"/>
      <c r="AT317" s="9"/>
      <c r="AU317" s="309"/>
      <c r="AV317" s="309"/>
    </row>
    <row r="318" spans="32:48" ht="45" customHeight="1">
      <c r="AF318" s="264" t="s">
        <v>1494</v>
      </c>
      <c r="AG318" s="722" t="s">
        <v>1213</v>
      </c>
      <c r="AH318" s="9" t="s">
        <v>74</v>
      </c>
      <c r="AI318" s="3">
        <v>0.72</v>
      </c>
      <c r="AJ318" s="3">
        <v>0.76</v>
      </c>
      <c r="AK318" s="3">
        <v>0.74</v>
      </c>
      <c r="AL318" s="4">
        <v>16.666666666666668</v>
      </c>
      <c r="AM318" s="4">
        <v>22.222222222222221</v>
      </c>
      <c r="AN318" s="9" t="s">
        <v>1188</v>
      </c>
      <c r="AO318" s="256"/>
      <c r="AP318" s="256" t="s">
        <v>1804</v>
      </c>
      <c r="AQ318" s="9"/>
      <c r="AR318" s="9"/>
      <c r="AS318" s="9"/>
      <c r="AT318" s="9"/>
      <c r="AU318" s="309"/>
      <c r="AV318" s="309"/>
    </row>
    <row r="319" spans="32:48" ht="45" customHeight="1">
      <c r="AF319" s="264" t="s">
        <v>1495</v>
      </c>
      <c r="AG319" s="722" t="s">
        <v>1213</v>
      </c>
      <c r="AH319" s="9" t="s">
        <v>74</v>
      </c>
      <c r="AI319" s="3">
        <v>0.72</v>
      </c>
      <c r="AJ319" s="3">
        <v>0.78</v>
      </c>
      <c r="AK319" s="3">
        <v>0.75</v>
      </c>
      <c r="AL319" s="4">
        <v>15.555555555555555</v>
      </c>
      <c r="AM319" s="4">
        <v>21.111111111111111</v>
      </c>
      <c r="AN319" s="9" t="s">
        <v>1186</v>
      </c>
      <c r="AO319" s="256"/>
      <c r="AP319" s="256" t="s">
        <v>1805</v>
      </c>
      <c r="AQ319" s="9"/>
      <c r="AR319" s="9"/>
      <c r="AS319" s="9"/>
      <c r="AT319" s="9"/>
      <c r="AU319" s="309"/>
      <c r="AV319" s="309"/>
    </row>
    <row r="320" spans="32:48" ht="45" customHeight="1">
      <c r="AF320" s="264" t="s">
        <v>1493</v>
      </c>
      <c r="AG320" s="722" t="s">
        <v>1205</v>
      </c>
      <c r="AH320" s="9" t="s">
        <v>74</v>
      </c>
      <c r="AI320" s="3">
        <v>0.72</v>
      </c>
      <c r="AJ320" s="3">
        <v>0.78</v>
      </c>
      <c r="AK320" s="3">
        <v>0.75</v>
      </c>
      <c r="AL320" s="4">
        <v>-17.777777777777779</v>
      </c>
      <c r="AM320" s="4">
        <v>-17.777777777777779</v>
      </c>
      <c r="AN320" s="9" t="s">
        <v>1186</v>
      </c>
      <c r="AO320" s="256"/>
      <c r="AP320" s="256" t="s">
        <v>1803</v>
      </c>
      <c r="AQ320" s="9"/>
      <c r="AR320" s="9"/>
      <c r="AS320" s="9"/>
      <c r="AT320" s="9"/>
      <c r="AU320" s="309"/>
      <c r="AV320" s="309"/>
    </row>
    <row r="321" spans="32:48" ht="45" customHeight="1">
      <c r="AF321" s="264" t="s">
        <v>1496</v>
      </c>
      <c r="AG321" s="722" t="s">
        <v>1421</v>
      </c>
      <c r="AH321" s="9" t="s">
        <v>72</v>
      </c>
      <c r="AI321" s="3">
        <v>0.75</v>
      </c>
      <c r="AJ321" s="3">
        <v>0.8</v>
      </c>
      <c r="AK321" s="3">
        <v>0.77500000000000002</v>
      </c>
      <c r="AL321" s="4">
        <v>18.888888888888889</v>
      </c>
      <c r="AM321" s="4">
        <v>22.222222222222221</v>
      </c>
      <c r="AN321" s="9" t="s">
        <v>1188</v>
      </c>
      <c r="AO321" s="256"/>
      <c r="AP321" s="256" t="s">
        <v>1806</v>
      </c>
      <c r="AQ321" s="9"/>
      <c r="AR321" s="9"/>
      <c r="AS321" s="9"/>
      <c r="AT321" s="9"/>
      <c r="AU321" s="309"/>
      <c r="AV321" s="309"/>
    </row>
    <row r="322" spans="32:48" ht="45" customHeight="1">
      <c r="AF322" s="264" t="s">
        <v>1497</v>
      </c>
      <c r="AG322" s="722" t="s">
        <v>1421</v>
      </c>
      <c r="AH322" s="9" t="s">
        <v>72</v>
      </c>
      <c r="AI322" s="3">
        <v>0.7</v>
      </c>
      <c r="AJ322" s="3">
        <v>0.8</v>
      </c>
      <c r="AK322" s="3">
        <v>0.75</v>
      </c>
      <c r="AL322" s="4">
        <v>20</v>
      </c>
      <c r="AM322" s="4">
        <v>23.888888888888889</v>
      </c>
      <c r="AN322" s="9" t="s">
        <v>1186</v>
      </c>
      <c r="AO322" s="256"/>
      <c r="AP322" s="256" t="s">
        <v>1807</v>
      </c>
      <c r="AQ322" s="9"/>
      <c r="AR322" s="9"/>
      <c r="AS322" s="9"/>
      <c r="AT322" s="9"/>
      <c r="AU322" s="309"/>
      <c r="AV322" s="309"/>
    </row>
    <row r="323" spans="32:48" ht="45" customHeight="1">
      <c r="AF323" s="264" t="s">
        <v>1498</v>
      </c>
      <c r="AG323" s="722" t="s">
        <v>1205</v>
      </c>
      <c r="AH323" s="9" t="s">
        <v>74</v>
      </c>
      <c r="AI323" s="3">
        <v>0.3</v>
      </c>
      <c r="AJ323" s="3">
        <v>0.5</v>
      </c>
      <c r="AK323" s="3">
        <v>0.4</v>
      </c>
      <c r="AL323" s="4">
        <v>10</v>
      </c>
      <c r="AM323" s="4">
        <v>30</v>
      </c>
      <c r="AN323" s="9" t="s">
        <v>1190</v>
      </c>
      <c r="AO323" s="256"/>
      <c r="AP323" s="256" t="s">
        <v>1808</v>
      </c>
      <c r="AQ323" s="9"/>
      <c r="AR323" s="9"/>
      <c r="AS323" s="9"/>
      <c r="AT323" s="9"/>
      <c r="AU323" s="309"/>
      <c r="AV323" s="309"/>
    </row>
    <row r="324" spans="32:48" ht="45" customHeight="1">
      <c r="AF324" s="264" t="s">
        <v>1499</v>
      </c>
      <c r="AG324" s="722" t="s">
        <v>1210</v>
      </c>
      <c r="AH324" s="9" t="s">
        <v>74</v>
      </c>
      <c r="AI324" s="3"/>
      <c r="AJ324" s="3"/>
      <c r="AK324" s="3"/>
      <c r="AL324" s="4">
        <v>17.777777777777779</v>
      </c>
      <c r="AM324" s="4">
        <v>22.222222222222221</v>
      </c>
      <c r="AN324" s="9" t="s">
        <v>1188</v>
      </c>
      <c r="AO324" s="256"/>
      <c r="AP324" s="256" t="s">
        <v>1809</v>
      </c>
      <c r="AQ324" s="9"/>
      <c r="AR324" s="9"/>
      <c r="AS324" s="9"/>
      <c r="AT324" s="9"/>
      <c r="AU324" s="309"/>
      <c r="AV324" s="309"/>
    </row>
    <row r="325" spans="32:48" ht="45" customHeight="1">
      <c r="AF325" s="264" t="s">
        <v>1500</v>
      </c>
      <c r="AG325" s="722" t="s">
        <v>1205</v>
      </c>
      <c r="AH325" s="9" t="s">
        <v>74</v>
      </c>
      <c r="AI325" s="3">
        <v>0.75</v>
      </c>
      <c r="AJ325" s="3">
        <v>0.8</v>
      </c>
      <c r="AK325" s="3">
        <v>0.77500000000000002</v>
      </c>
      <c r="AL325" s="4">
        <v>18.333333333333332</v>
      </c>
      <c r="AM325" s="4">
        <v>22.222222222222221</v>
      </c>
      <c r="AN325" s="9" t="s">
        <v>1190</v>
      </c>
      <c r="AO325" s="256"/>
      <c r="AP325" s="256" t="s">
        <v>1810</v>
      </c>
      <c r="AQ325" s="9"/>
      <c r="AR325" s="9"/>
      <c r="AS325" s="9"/>
      <c r="AT325" s="9"/>
      <c r="AU325" s="309"/>
      <c r="AV325" s="309"/>
    </row>
    <row r="326" spans="32:48" ht="45" customHeight="1">
      <c r="AF326" s="264" t="s">
        <v>1501</v>
      </c>
      <c r="AG326" s="722" t="s">
        <v>1213</v>
      </c>
      <c r="AH326" s="9" t="s">
        <v>74</v>
      </c>
      <c r="AI326" s="3">
        <v>0.74</v>
      </c>
      <c r="AJ326" s="3">
        <v>0.78</v>
      </c>
      <c r="AK326" s="3">
        <v>0.76</v>
      </c>
      <c r="AL326" s="4">
        <v>17.777777777777779</v>
      </c>
      <c r="AM326" s="4">
        <v>25.555555555555557</v>
      </c>
      <c r="AN326" s="9" t="s">
        <v>1188</v>
      </c>
      <c r="AO326" s="256"/>
      <c r="AP326" s="256" t="s">
        <v>1811</v>
      </c>
      <c r="AQ326" s="9"/>
      <c r="AR326" s="9"/>
      <c r="AS326" s="9"/>
      <c r="AT326" s="9"/>
      <c r="AU326" s="309"/>
      <c r="AV326" s="309"/>
    </row>
    <row r="327" spans="32:48" ht="45" customHeight="1">
      <c r="AF327" s="264" t="s">
        <v>1502</v>
      </c>
      <c r="AG327" s="722" t="s">
        <v>1213</v>
      </c>
      <c r="AH327" s="9" t="s">
        <v>74</v>
      </c>
      <c r="AI327" s="3">
        <v>0.75</v>
      </c>
      <c r="AJ327" s="3">
        <v>0.8</v>
      </c>
      <c r="AK327" s="3">
        <v>0.77500000000000002</v>
      </c>
      <c r="AL327" s="4">
        <v>20</v>
      </c>
      <c r="AM327" s="4">
        <v>29.444444444444443</v>
      </c>
      <c r="AN327" s="9" t="s">
        <v>1188</v>
      </c>
      <c r="AO327" s="256"/>
      <c r="AP327" s="256" t="s">
        <v>1812</v>
      </c>
      <c r="AQ327" s="9"/>
      <c r="AR327" s="9"/>
      <c r="AS327" s="9"/>
      <c r="AT327" s="9"/>
      <c r="AU327" s="309"/>
      <c r="AV327" s="309"/>
    </row>
    <row r="328" spans="32:48" ht="45" customHeight="1">
      <c r="AF328" s="264" t="s">
        <v>1503</v>
      </c>
      <c r="AG328" s="722" t="s">
        <v>1208</v>
      </c>
      <c r="AH328" s="9" t="s">
        <v>74</v>
      </c>
      <c r="AI328" s="3">
        <v>0.85</v>
      </c>
      <c r="AJ328" s="3">
        <v>1</v>
      </c>
      <c r="AK328" s="3">
        <v>0.92500000000000004</v>
      </c>
      <c r="AL328" s="4">
        <v>23.888888888888889</v>
      </c>
      <c r="AM328" s="4">
        <v>29.444444444444443</v>
      </c>
      <c r="AN328" s="9" t="s">
        <v>1198</v>
      </c>
      <c r="AO328" s="256"/>
      <c r="AP328" s="256" t="s">
        <v>1813</v>
      </c>
      <c r="AQ328" s="9"/>
      <c r="AR328" s="9"/>
      <c r="AS328" s="9"/>
      <c r="AT328" s="9"/>
      <c r="AU328" s="309"/>
      <c r="AV328" s="309"/>
    </row>
    <row r="329" spans="32:48" ht="45" customHeight="1">
      <c r="AF329" s="264" t="s">
        <v>2565</v>
      </c>
      <c r="AG329" s="722" t="s">
        <v>1205</v>
      </c>
      <c r="AH329" s="9" t="s">
        <v>74</v>
      </c>
      <c r="AI329" s="3">
        <v>0.75</v>
      </c>
      <c r="AJ329" s="3">
        <v>0.82</v>
      </c>
      <c r="AK329" s="3">
        <f>IFERROR(AVERAGE(AI329,AJ329),"")</f>
        <v>0.78499999999999992</v>
      </c>
      <c r="AL329" s="4">
        <v>17</v>
      </c>
      <c r="AM329" s="4">
        <v>23</v>
      </c>
      <c r="AN329" s="9" t="s">
        <v>865</v>
      </c>
      <c r="AO329" s="256" t="s">
        <v>864</v>
      </c>
      <c r="AP329" s="256" t="s">
        <v>866</v>
      </c>
      <c r="AQ329" s="9"/>
      <c r="AR329" s="263">
        <v>10</v>
      </c>
      <c r="AS329" s="9"/>
      <c r="AT329" s="9"/>
      <c r="AU329" s="309"/>
      <c r="AV329" s="309"/>
    </row>
    <row r="330" spans="32:48" ht="45" customHeight="1">
      <c r="AF330" s="264" t="s">
        <v>1504</v>
      </c>
      <c r="AG330" s="722" t="s">
        <v>1213</v>
      </c>
      <c r="AH330" s="9" t="s">
        <v>74</v>
      </c>
      <c r="AI330" s="3">
        <v>0.72</v>
      </c>
      <c r="AJ330" s="3">
        <v>0.75</v>
      </c>
      <c r="AK330" s="3">
        <v>0.74</v>
      </c>
      <c r="AL330" s="4">
        <v>8.8888888888888893</v>
      </c>
      <c r="AM330" s="4">
        <v>13.333333333333334</v>
      </c>
      <c r="AN330" s="9" t="s">
        <v>1196</v>
      </c>
      <c r="AO330" s="256"/>
      <c r="AP330" s="256" t="s">
        <v>1814</v>
      </c>
      <c r="AQ330" s="9"/>
      <c r="AR330" s="9"/>
      <c r="AS330" s="9"/>
      <c r="AT330" s="9"/>
      <c r="AU330" s="309"/>
      <c r="AV330" s="309"/>
    </row>
    <row r="331" spans="32:48" ht="45" customHeight="1">
      <c r="AF331" s="264" t="s">
        <v>1505</v>
      </c>
      <c r="AG331" s="722" t="s">
        <v>1244</v>
      </c>
      <c r="AH331" s="9" t="s">
        <v>72</v>
      </c>
      <c r="AI331" s="3"/>
      <c r="AJ331" s="3"/>
      <c r="AK331" s="3"/>
      <c r="AL331" s="4">
        <v>15</v>
      </c>
      <c r="AM331" s="4">
        <v>23.333333333333332</v>
      </c>
      <c r="AN331" s="9" t="s">
        <v>1186</v>
      </c>
      <c r="AO331" s="256"/>
      <c r="AP331" s="256" t="s">
        <v>1815</v>
      </c>
      <c r="AQ331" s="9"/>
      <c r="AR331" s="9"/>
      <c r="AS331" s="9"/>
      <c r="AT331" s="9"/>
      <c r="AU331" s="309"/>
      <c r="AV331" s="309"/>
    </row>
    <row r="332" spans="32:48" ht="45" customHeight="1">
      <c r="AF332" s="264" t="s">
        <v>1506</v>
      </c>
      <c r="AG332" s="722" t="s">
        <v>1208</v>
      </c>
      <c r="AH332" s="9" t="s">
        <v>74</v>
      </c>
      <c r="AI332" s="3">
        <v>0.75</v>
      </c>
      <c r="AJ332" s="3">
        <v>0.82</v>
      </c>
      <c r="AK332" s="3">
        <v>0.78500000000000003</v>
      </c>
      <c r="AL332" s="4">
        <v>22.222222222222221</v>
      </c>
      <c r="AM332" s="4">
        <v>36.666666666666664</v>
      </c>
      <c r="AN332" s="9" t="s">
        <v>1188</v>
      </c>
      <c r="AO332" s="256"/>
      <c r="AP332" s="256" t="s">
        <v>1816</v>
      </c>
      <c r="AQ332" s="9"/>
      <c r="AR332" s="9"/>
      <c r="AS332" s="9"/>
      <c r="AT332" s="9"/>
      <c r="AU332" s="309"/>
      <c r="AV332" s="309"/>
    </row>
    <row r="333" spans="32:48" ht="45" customHeight="1">
      <c r="AF333" s="264" t="s">
        <v>1507</v>
      </c>
      <c r="AG333" s="722" t="s">
        <v>1185</v>
      </c>
      <c r="AH333" s="9" t="s">
        <v>74</v>
      </c>
      <c r="AI333" s="3">
        <v>0.75</v>
      </c>
      <c r="AJ333" s="3">
        <v>0.8</v>
      </c>
      <c r="AK333" s="3">
        <v>0.77500000000000002</v>
      </c>
      <c r="AL333" s="4">
        <v>17.777777777777779</v>
      </c>
      <c r="AM333" s="4">
        <v>23.333333333333332</v>
      </c>
      <c r="AN333" s="9" t="s">
        <v>1198</v>
      </c>
      <c r="AO333" s="256"/>
      <c r="AP333" s="256" t="s">
        <v>1817</v>
      </c>
      <c r="AQ333" s="9"/>
      <c r="AR333" s="9"/>
      <c r="AS333" s="9"/>
      <c r="AT333" s="9"/>
      <c r="AU333" s="309"/>
      <c r="AV333" s="309"/>
    </row>
    <row r="334" spans="32:48" ht="45" customHeight="1">
      <c r="AF334" s="264" t="s">
        <v>1508</v>
      </c>
      <c r="AG334" s="722" t="s">
        <v>1213</v>
      </c>
      <c r="AH334" s="9" t="s">
        <v>74</v>
      </c>
      <c r="AI334" s="3">
        <v>0.73</v>
      </c>
      <c r="AJ334" s="3">
        <v>0.77</v>
      </c>
      <c r="AK334" s="3">
        <v>0.75</v>
      </c>
      <c r="AL334" s="4">
        <v>17.777777777777779</v>
      </c>
      <c r="AM334" s="4">
        <v>23.888888888888889</v>
      </c>
      <c r="AN334" s="9" t="s">
        <v>1198</v>
      </c>
      <c r="AO334" s="256"/>
      <c r="AP334" s="256" t="s">
        <v>1818</v>
      </c>
      <c r="AQ334" s="9"/>
      <c r="AR334" s="9"/>
      <c r="AS334" s="9"/>
      <c r="AT334" s="9"/>
      <c r="AU334" s="309"/>
      <c r="AV334" s="309"/>
    </row>
    <row r="335" spans="32:48" ht="45" customHeight="1">
      <c r="AF335" s="264" t="s">
        <v>1508</v>
      </c>
      <c r="AG335" s="722"/>
      <c r="AH335" s="9" t="s">
        <v>74</v>
      </c>
      <c r="AI335" s="3">
        <v>0.73</v>
      </c>
      <c r="AJ335" s="3">
        <v>0.77</v>
      </c>
      <c r="AK335" s="3">
        <f>IFERROR(AVERAGE(AI335,AJ335),"")</f>
        <v>0.75</v>
      </c>
      <c r="AL335" s="4">
        <v>17.8</v>
      </c>
      <c r="AM335" s="4">
        <v>23.9</v>
      </c>
      <c r="AN335" s="9" t="s">
        <v>75</v>
      </c>
      <c r="AO335" s="256"/>
      <c r="AP335" s="256"/>
      <c r="AQ335" s="9"/>
      <c r="AR335" s="9"/>
      <c r="AS335" s="9"/>
      <c r="AT335" s="9"/>
      <c r="AU335" s="309"/>
      <c r="AV335" s="309"/>
    </row>
    <row r="336" spans="32:48" ht="45" customHeight="1">
      <c r="AF336" s="264" t="s">
        <v>1509</v>
      </c>
      <c r="AG336" s="722" t="s">
        <v>1208</v>
      </c>
      <c r="AH336" s="9" t="s">
        <v>74</v>
      </c>
      <c r="AI336" s="3">
        <v>0.73</v>
      </c>
      <c r="AJ336" s="3">
        <v>0.8</v>
      </c>
      <c r="AK336" s="3">
        <v>0.76500000000000001</v>
      </c>
      <c r="AL336" s="4">
        <v>15.555555555555555</v>
      </c>
      <c r="AM336" s="4">
        <v>22.777777777777779</v>
      </c>
      <c r="AN336" s="9" t="s">
        <v>1190</v>
      </c>
      <c r="AO336" s="256"/>
      <c r="AP336" s="256" t="s">
        <v>1819</v>
      </c>
      <c r="AQ336" s="9"/>
      <c r="AR336" s="9"/>
      <c r="AS336" s="9"/>
      <c r="AT336" s="9"/>
      <c r="AU336" s="309"/>
      <c r="AV336" s="309"/>
    </row>
    <row r="337" spans="32:48" ht="45" customHeight="1">
      <c r="AF337" s="264" t="s">
        <v>1510</v>
      </c>
      <c r="AG337" s="722" t="s">
        <v>1213</v>
      </c>
      <c r="AH337" s="9" t="s">
        <v>74</v>
      </c>
      <c r="AI337" s="3">
        <v>0.67</v>
      </c>
      <c r="AJ337" s="3">
        <v>0.71</v>
      </c>
      <c r="AK337" s="3">
        <v>0.69</v>
      </c>
      <c r="AL337" s="4">
        <v>17.777777777777779</v>
      </c>
      <c r="AM337" s="4">
        <v>22.222222222222221</v>
      </c>
      <c r="AN337" s="9" t="s">
        <v>1186</v>
      </c>
      <c r="AO337" s="256"/>
      <c r="AP337" s="256" t="s">
        <v>1820</v>
      </c>
      <c r="AQ337" s="9"/>
      <c r="AR337" s="9"/>
      <c r="AS337" s="9"/>
      <c r="AT337" s="9"/>
      <c r="AU337" s="309"/>
      <c r="AV337" s="309"/>
    </row>
    <row r="338" spans="32:48" ht="45" customHeight="1">
      <c r="AF338" s="264" t="s">
        <v>1510</v>
      </c>
      <c r="AG338" s="722" t="s">
        <v>1213</v>
      </c>
      <c r="AH338" s="9" t="s">
        <v>74</v>
      </c>
      <c r="AI338" s="3">
        <v>0.67</v>
      </c>
      <c r="AJ338" s="3">
        <v>0.71</v>
      </c>
      <c r="AK338" s="3">
        <v>0.69</v>
      </c>
      <c r="AL338" s="4">
        <v>17.777777777777779</v>
      </c>
      <c r="AM338" s="4">
        <v>22.222222222222221</v>
      </c>
      <c r="AN338" s="9" t="s">
        <v>1186</v>
      </c>
      <c r="AO338" s="256"/>
      <c r="AP338" s="256" t="s">
        <v>1820</v>
      </c>
      <c r="AQ338" s="9"/>
      <c r="AR338" s="9"/>
      <c r="AS338" s="9"/>
      <c r="AT338" s="9"/>
      <c r="AU338" s="309"/>
      <c r="AV338" s="309"/>
    </row>
    <row r="339" spans="32:48" ht="45" customHeight="1">
      <c r="AF339" s="264" t="s">
        <v>1511</v>
      </c>
      <c r="AG339" s="722" t="s">
        <v>1213</v>
      </c>
      <c r="AH339" s="9" t="s">
        <v>74</v>
      </c>
      <c r="AI339" s="3">
        <v>0.68</v>
      </c>
      <c r="AJ339" s="3">
        <v>0.72</v>
      </c>
      <c r="AK339" s="3">
        <v>0.7</v>
      </c>
      <c r="AL339" s="4">
        <v>17.777777777777779</v>
      </c>
      <c r="AM339" s="4">
        <v>23.333333333333332</v>
      </c>
      <c r="AN339" s="9" t="s">
        <v>1186</v>
      </c>
      <c r="AO339" s="256"/>
      <c r="AP339" s="256" t="s">
        <v>1821</v>
      </c>
      <c r="AQ339" s="9"/>
      <c r="AR339" s="9"/>
      <c r="AS339" s="9"/>
      <c r="AT339" s="9"/>
      <c r="AU339" s="309"/>
      <c r="AV339" s="309"/>
    </row>
    <row r="340" spans="32:48" ht="45" customHeight="1">
      <c r="AF340" s="264" t="s">
        <v>1511</v>
      </c>
      <c r="AG340" s="722" t="s">
        <v>1213</v>
      </c>
      <c r="AH340" s="9" t="s">
        <v>74</v>
      </c>
      <c r="AI340" s="3">
        <v>0.68</v>
      </c>
      <c r="AJ340" s="3">
        <v>0.72</v>
      </c>
      <c r="AK340" s="3">
        <v>0.7</v>
      </c>
      <c r="AL340" s="4">
        <v>17.777777777777779</v>
      </c>
      <c r="AM340" s="4">
        <v>23.333333333333332</v>
      </c>
      <c r="AN340" s="9" t="s">
        <v>1186</v>
      </c>
      <c r="AO340" s="256"/>
      <c r="AP340" s="256" t="s">
        <v>1821</v>
      </c>
      <c r="AQ340" s="9"/>
      <c r="AR340" s="9"/>
      <c r="AS340" s="9"/>
      <c r="AT340" s="9"/>
      <c r="AU340" s="309"/>
      <c r="AV340" s="309"/>
    </row>
    <row r="341" spans="32:48" ht="45" customHeight="1">
      <c r="AF341" s="264" t="s">
        <v>1512</v>
      </c>
      <c r="AG341" s="722" t="s">
        <v>1205</v>
      </c>
      <c r="AH341" s="9" t="s">
        <v>74</v>
      </c>
      <c r="AI341" s="3">
        <v>0.67</v>
      </c>
      <c r="AJ341" s="3">
        <v>0.73</v>
      </c>
      <c r="AK341" s="3">
        <v>0.7</v>
      </c>
      <c r="AL341" s="4">
        <v>18.888888888888889</v>
      </c>
      <c r="AM341" s="4">
        <v>21.111111111111111</v>
      </c>
      <c r="AN341" s="9" t="s">
        <v>1186</v>
      </c>
      <c r="AO341" s="256"/>
      <c r="AP341" s="256" t="s">
        <v>1822</v>
      </c>
      <c r="AQ341" s="9"/>
      <c r="AR341" s="9"/>
      <c r="AS341" s="9"/>
      <c r="AT341" s="9"/>
      <c r="AU341" s="309"/>
      <c r="AV341" s="309"/>
    </row>
    <row r="342" spans="32:48" ht="45" customHeight="1">
      <c r="AF342" s="264" t="s">
        <v>1512</v>
      </c>
      <c r="AG342" s="722" t="s">
        <v>1205</v>
      </c>
      <c r="AH342" s="9" t="s">
        <v>74</v>
      </c>
      <c r="AI342" s="3">
        <v>0.67</v>
      </c>
      <c r="AJ342" s="3">
        <v>0.73</v>
      </c>
      <c r="AK342" s="3">
        <v>0.7</v>
      </c>
      <c r="AL342" s="4">
        <v>18.888888888888889</v>
      </c>
      <c r="AM342" s="4">
        <v>21.111111111111111</v>
      </c>
      <c r="AN342" s="9" t="s">
        <v>1186</v>
      </c>
      <c r="AO342" s="256"/>
      <c r="AP342" s="256" t="s">
        <v>1822</v>
      </c>
      <c r="AQ342" s="9"/>
      <c r="AR342" s="9"/>
      <c r="AS342" s="9"/>
      <c r="AT342" s="9"/>
      <c r="AU342" s="309"/>
      <c r="AV342" s="309"/>
    </row>
    <row r="343" spans="32:48" ht="45" customHeight="1">
      <c r="AF343" s="264" t="s">
        <v>1513</v>
      </c>
      <c r="AG343" s="722" t="s">
        <v>1203</v>
      </c>
      <c r="AH343" s="9" t="s">
        <v>72</v>
      </c>
      <c r="AI343" s="3"/>
      <c r="AJ343" s="3"/>
      <c r="AK343" s="3">
        <v>0.75</v>
      </c>
      <c r="AL343" s="4">
        <v>15</v>
      </c>
      <c r="AM343" s="4">
        <v>22.222222222222221</v>
      </c>
      <c r="AN343" s="9" t="s">
        <v>1198</v>
      </c>
      <c r="AO343" s="256"/>
      <c r="AP343" s="256" t="s">
        <v>1823</v>
      </c>
      <c r="AQ343" s="9"/>
      <c r="AR343" s="9"/>
      <c r="AS343" s="9"/>
      <c r="AT343" s="9"/>
      <c r="AU343" s="309"/>
      <c r="AV343" s="309"/>
    </row>
    <row r="344" spans="32:48" ht="45" customHeight="1">
      <c r="AF344" s="264" t="s">
        <v>1513</v>
      </c>
      <c r="AG344" s="722" t="s">
        <v>1203</v>
      </c>
      <c r="AH344" s="9" t="s">
        <v>72</v>
      </c>
      <c r="AI344" s="3"/>
      <c r="AJ344" s="3"/>
      <c r="AK344" s="3">
        <v>0.75</v>
      </c>
      <c r="AL344" s="4">
        <v>15</v>
      </c>
      <c r="AM344" s="4">
        <v>22.222222222222221</v>
      </c>
      <c r="AN344" s="9" t="s">
        <v>1198</v>
      </c>
      <c r="AO344" s="256"/>
      <c r="AP344" s="256" t="s">
        <v>1823</v>
      </c>
      <c r="AQ344" s="9"/>
      <c r="AR344" s="9"/>
      <c r="AS344" s="9"/>
      <c r="AT344" s="9"/>
      <c r="AU344" s="309"/>
      <c r="AV344" s="309"/>
    </row>
    <row r="345" spans="32:48" ht="45" customHeight="1">
      <c r="AF345" s="264" t="s">
        <v>2340</v>
      </c>
      <c r="AG345" s="722" t="s">
        <v>1205</v>
      </c>
      <c r="AH345" s="9" t="s">
        <v>74</v>
      </c>
      <c r="AI345" s="3"/>
      <c r="AJ345" s="3"/>
      <c r="AK345" s="3">
        <v>0.2</v>
      </c>
      <c r="AL345" s="4">
        <v>20</v>
      </c>
      <c r="AM345" s="4">
        <v>24</v>
      </c>
      <c r="AN345" s="9" t="s">
        <v>1188</v>
      </c>
      <c r="AO345" s="256" t="s">
        <v>2341</v>
      </c>
      <c r="AP345" s="256"/>
      <c r="AQ345" s="9"/>
      <c r="AR345" s="263" t="s">
        <v>2342</v>
      </c>
      <c r="AS345" s="9"/>
      <c r="AT345" s="9"/>
      <c r="AU345" s="309"/>
      <c r="AV345" s="309"/>
    </row>
    <row r="346" spans="32:48" ht="45" customHeight="1">
      <c r="AF346" s="264" t="s">
        <v>1514</v>
      </c>
      <c r="AG346" s="722" t="s">
        <v>1244</v>
      </c>
      <c r="AH346" s="9" t="s">
        <v>72</v>
      </c>
      <c r="AI346" s="3"/>
      <c r="AJ346" s="3"/>
      <c r="AK346" s="3"/>
      <c r="AL346" s="4">
        <v>15</v>
      </c>
      <c r="AM346" s="4">
        <v>20</v>
      </c>
      <c r="AN346" s="9" t="s">
        <v>1188</v>
      </c>
      <c r="AO346" s="256"/>
      <c r="AP346" s="256" t="s">
        <v>1824</v>
      </c>
      <c r="AQ346" s="9"/>
      <c r="AR346" s="9"/>
      <c r="AS346" s="9"/>
      <c r="AT346" s="9"/>
      <c r="AU346" s="309"/>
      <c r="AV346" s="309"/>
    </row>
    <row r="347" spans="32:48" ht="45" customHeight="1">
      <c r="AF347" s="264" t="s">
        <v>1514</v>
      </c>
      <c r="AG347" s="722" t="s">
        <v>1244</v>
      </c>
      <c r="AH347" s="9" t="s">
        <v>72</v>
      </c>
      <c r="AI347" s="3"/>
      <c r="AJ347" s="3"/>
      <c r="AK347" s="3"/>
      <c r="AL347" s="4">
        <v>15</v>
      </c>
      <c r="AM347" s="4">
        <v>20</v>
      </c>
      <c r="AN347" s="9" t="s">
        <v>1188</v>
      </c>
      <c r="AO347" s="256"/>
      <c r="AP347" s="256" t="s">
        <v>1824</v>
      </c>
      <c r="AQ347" s="9"/>
      <c r="AR347" s="9"/>
      <c r="AS347" s="9"/>
      <c r="AT347" s="9"/>
      <c r="AU347" s="309"/>
      <c r="AV347" s="309"/>
    </row>
    <row r="348" spans="32:48" ht="45" customHeight="1">
      <c r="AF348" s="264" t="s">
        <v>1515</v>
      </c>
      <c r="AG348" s="722" t="s">
        <v>1421</v>
      </c>
      <c r="AH348" s="9" t="s">
        <v>72</v>
      </c>
      <c r="AI348" s="3">
        <v>0.65</v>
      </c>
      <c r="AJ348" s="3">
        <v>0.75</v>
      </c>
      <c r="AK348" s="3">
        <v>0.7</v>
      </c>
      <c r="AL348" s="4">
        <v>18.333333333333332</v>
      </c>
      <c r="AM348" s="4">
        <v>21.111111111111111</v>
      </c>
      <c r="AN348" s="9" t="s">
        <v>1188</v>
      </c>
      <c r="AO348" s="256"/>
      <c r="AP348" s="256" t="s">
        <v>1825</v>
      </c>
      <c r="AQ348" s="9"/>
      <c r="AR348" s="9"/>
      <c r="AS348" s="9"/>
      <c r="AT348" s="9"/>
    </row>
    <row r="349" spans="32:48" ht="45" customHeight="1">
      <c r="AF349" s="264" t="s">
        <v>1515</v>
      </c>
      <c r="AG349" s="722" t="s">
        <v>1421</v>
      </c>
      <c r="AH349" s="9" t="s">
        <v>72</v>
      </c>
      <c r="AI349" s="3">
        <v>0.65</v>
      </c>
      <c r="AJ349" s="3">
        <v>0.75</v>
      </c>
      <c r="AK349" s="3">
        <v>0.7</v>
      </c>
      <c r="AL349" s="4">
        <v>18.333333333333332</v>
      </c>
      <c r="AM349" s="4">
        <v>21.111111111111111</v>
      </c>
      <c r="AN349" s="9" t="s">
        <v>1188</v>
      </c>
      <c r="AO349" s="256"/>
      <c r="AP349" s="256" t="s">
        <v>1825</v>
      </c>
      <c r="AQ349" s="9"/>
      <c r="AR349" s="9"/>
      <c r="AS349" s="9"/>
      <c r="AT349" s="9"/>
    </row>
    <row r="350" spans="32:48" ht="45" customHeight="1">
      <c r="AF350" s="264" t="s">
        <v>1516</v>
      </c>
      <c r="AG350" s="722" t="s">
        <v>1205</v>
      </c>
      <c r="AH350" s="9" t="s">
        <v>74</v>
      </c>
      <c r="AI350" s="3"/>
      <c r="AJ350" s="3"/>
      <c r="AK350" s="3">
        <v>0.7</v>
      </c>
      <c r="AL350" s="4">
        <v>18.333333333333332</v>
      </c>
      <c r="AM350" s="4">
        <v>21.111111111111111</v>
      </c>
      <c r="AN350" s="9" t="s">
        <v>1186</v>
      </c>
      <c r="AO350" s="256"/>
      <c r="AP350" s="256" t="s">
        <v>1826</v>
      </c>
      <c r="AQ350" s="9"/>
      <c r="AR350" s="9"/>
      <c r="AS350" s="9"/>
      <c r="AT350" s="9"/>
    </row>
    <row r="351" spans="32:48" ht="45" customHeight="1">
      <c r="AF351" s="264" t="s">
        <v>1516</v>
      </c>
      <c r="AG351" s="722" t="s">
        <v>1205</v>
      </c>
      <c r="AH351" s="9" t="s">
        <v>74</v>
      </c>
      <c r="AI351" s="3"/>
      <c r="AJ351" s="3"/>
      <c r="AK351" s="3">
        <v>0.7</v>
      </c>
      <c r="AL351" s="4">
        <v>18.333333333333332</v>
      </c>
      <c r="AM351" s="4">
        <v>21.111111111111111</v>
      </c>
      <c r="AN351" s="9" t="s">
        <v>1186</v>
      </c>
      <c r="AO351" s="256"/>
      <c r="AP351" s="256" t="s">
        <v>1826</v>
      </c>
      <c r="AQ351" s="9"/>
      <c r="AR351" s="9"/>
      <c r="AS351" s="9"/>
      <c r="AT351" s="9"/>
    </row>
    <row r="352" spans="32:48" ht="45" customHeight="1">
      <c r="AF352" s="264" t="s">
        <v>1517</v>
      </c>
      <c r="AG352" s="722" t="s">
        <v>1205</v>
      </c>
      <c r="AH352" s="9" t="s">
        <v>74</v>
      </c>
      <c r="AI352" s="3">
        <v>0.7</v>
      </c>
      <c r="AJ352" s="3">
        <v>0.8</v>
      </c>
      <c r="AK352" s="3">
        <v>0.75</v>
      </c>
      <c r="AL352" s="4">
        <v>10</v>
      </c>
      <c r="AM352" s="4">
        <v>12.777777777777779</v>
      </c>
      <c r="AN352" s="9" t="s">
        <v>1188</v>
      </c>
      <c r="AO352" s="256"/>
      <c r="AP352" s="256" t="s">
        <v>1827</v>
      </c>
      <c r="AQ352" s="9"/>
      <c r="AR352" s="9"/>
      <c r="AS352" s="9"/>
      <c r="AT352" s="9"/>
    </row>
    <row r="353" spans="32:46" ht="45" customHeight="1">
      <c r="AF353" s="264" t="s">
        <v>1517</v>
      </c>
      <c r="AG353" s="722" t="s">
        <v>1205</v>
      </c>
      <c r="AH353" s="9" t="s">
        <v>74</v>
      </c>
      <c r="AI353" s="3">
        <v>0.7</v>
      </c>
      <c r="AJ353" s="3">
        <v>0.8</v>
      </c>
      <c r="AK353" s="3">
        <v>0.75</v>
      </c>
      <c r="AL353" s="4">
        <v>10</v>
      </c>
      <c r="AM353" s="4">
        <v>12.777777777777779</v>
      </c>
      <c r="AN353" s="9" t="s">
        <v>1188</v>
      </c>
      <c r="AO353" s="256"/>
      <c r="AP353" s="256" t="s">
        <v>1827</v>
      </c>
      <c r="AQ353" s="9"/>
      <c r="AR353" s="9"/>
      <c r="AS353" s="9"/>
      <c r="AT353" s="9"/>
    </row>
  </sheetData>
  <sortState xmlns:xlrd2="http://schemas.microsoft.com/office/spreadsheetml/2017/richdata2" ref="A8:F29">
    <sortCondition ref="F29"/>
  </sortState>
  <mergeCells count="325">
    <mergeCell ref="BW134:BX134"/>
    <mergeCell ref="BW168:BX168"/>
    <mergeCell ref="BA26:BB26"/>
    <mergeCell ref="BW144:BX144"/>
    <mergeCell ref="BW145:BX145"/>
    <mergeCell ref="BW146:BX146"/>
    <mergeCell ref="BW147:BX147"/>
    <mergeCell ref="BW148:BX148"/>
    <mergeCell ref="BW164:BX164"/>
    <mergeCell ref="BW165:BX165"/>
    <mergeCell ref="BW166:BX166"/>
    <mergeCell ref="BW135:BX135"/>
    <mergeCell ref="BW136:BX136"/>
    <mergeCell ref="BW137:BX137"/>
    <mergeCell ref="BW138:BX138"/>
    <mergeCell ref="BW167:BX167"/>
    <mergeCell ref="BW159:BX159"/>
    <mergeCell ref="BW160:BX160"/>
    <mergeCell ref="BA27:BB27"/>
    <mergeCell ref="BW158:BX158"/>
    <mergeCell ref="BW161:BX161"/>
    <mergeCell ref="BW162:BX162"/>
    <mergeCell ref="BW163:BX163"/>
    <mergeCell ref="I36:J36"/>
    <mergeCell ref="L36:N36"/>
    <mergeCell ref="I12:M12"/>
    <mergeCell ref="N12:P12"/>
    <mergeCell ref="I6:L6"/>
    <mergeCell ref="I17:M17"/>
    <mergeCell ref="I21:M21"/>
    <mergeCell ref="I23:M23"/>
    <mergeCell ref="I27:M27"/>
    <mergeCell ref="N21:P21"/>
    <mergeCell ref="N17:P17"/>
    <mergeCell ref="N27:P27"/>
    <mergeCell ref="M6:P6"/>
    <mergeCell ref="BA24:BB24"/>
    <mergeCell ref="AW25:AX25"/>
    <mergeCell ref="AY25:AZ25"/>
    <mergeCell ref="BA25:BB25"/>
    <mergeCell ref="AW5:AX5"/>
    <mergeCell ref="AY5:AZ5"/>
    <mergeCell ref="BA5:BB5"/>
    <mergeCell ref="BA11:BB11"/>
    <mergeCell ref="BA12:BB12"/>
    <mergeCell ref="AW13:AX13"/>
    <mergeCell ref="AY13:AZ13"/>
    <mergeCell ref="AW17:AX17"/>
    <mergeCell ref="AW16:AX16"/>
    <mergeCell ref="AW15:AX15"/>
    <mergeCell ref="BA13:BB13"/>
    <mergeCell ref="BA18:BB18"/>
    <mergeCell ref="BA17:BB17"/>
    <mergeCell ref="BA16:BB16"/>
    <mergeCell ref="BA15:BB15"/>
    <mergeCell ref="AY15:AZ15"/>
    <mergeCell ref="AY16:AZ16"/>
    <mergeCell ref="AW11:AX11"/>
    <mergeCell ref="AY11:AZ11"/>
    <mergeCell ref="AW14:AX14"/>
    <mergeCell ref="K47:K49"/>
    <mergeCell ref="L48:L50"/>
    <mergeCell ref="M49:M51"/>
    <mergeCell ref="AW26:AX26"/>
    <mergeCell ref="AY26:AZ26"/>
    <mergeCell ref="AW27:AX27"/>
    <mergeCell ref="AY27:AZ27"/>
    <mergeCell ref="BW157:BX157"/>
    <mergeCell ref="BW149:BX149"/>
    <mergeCell ref="BW150:BX150"/>
    <mergeCell ref="BW151:BX151"/>
    <mergeCell ref="BW152:BX152"/>
    <mergeCell ref="BW153:BX153"/>
    <mergeCell ref="BW139:BX139"/>
    <mergeCell ref="BW140:BX140"/>
    <mergeCell ref="BW141:BX141"/>
    <mergeCell ref="BW143:BX143"/>
    <mergeCell ref="BW154:BX154"/>
    <mergeCell ref="BW155:BX155"/>
    <mergeCell ref="BW156:BX156"/>
    <mergeCell ref="BW129:BX129"/>
    <mergeCell ref="BW130:BX130"/>
    <mergeCell ref="BW131:BX131"/>
    <mergeCell ref="BW142:BX142"/>
    <mergeCell ref="N23:P23"/>
    <mergeCell ref="AW24:AX24"/>
    <mergeCell ref="AY24:AZ24"/>
    <mergeCell ref="AY17:AZ17"/>
    <mergeCell ref="AY18:AZ18"/>
    <mergeCell ref="AY19:AZ19"/>
    <mergeCell ref="AY20:AZ20"/>
    <mergeCell ref="AY21:AZ21"/>
    <mergeCell ref="AY22:AZ22"/>
    <mergeCell ref="BW132:BX132"/>
    <mergeCell ref="BW133:BX133"/>
    <mergeCell ref="BW124:BX124"/>
    <mergeCell ref="BW125:BX125"/>
    <mergeCell ref="BW126:BX126"/>
    <mergeCell ref="BW127:BX127"/>
    <mergeCell ref="BW128:BX128"/>
    <mergeCell ref="BW119:BX119"/>
    <mergeCell ref="BW120:BX120"/>
    <mergeCell ref="BW182:BX182"/>
    <mergeCell ref="BW174:BX174"/>
    <mergeCell ref="BW175:BX175"/>
    <mergeCell ref="BW176:BX176"/>
    <mergeCell ref="BW177:BX177"/>
    <mergeCell ref="BW178:BX178"/>
    <mergeCell ref="BW169:BX169"/>
    <mergeCell ref="BW170:BX170"/>
    <mergeCell ref="BW171:BX171"/>
    <mergeCell ref="BW172:BX172"/>
    <mergeCell ref="BW173:BX173"/>
    <mergeCell ref="BW180:BX180"/>
    <mergeCell ref="BW181:BX181"/>
    <mergeCell ref="BW179:BX179"/>
    <mergeCell ref="BW121:BX121"/>
    <mergeCell ref="BW122:BX122"/>
    <mergeCell ref="BW123:BX123"/>
    <mergeCell ref="BW114:BX114"/>
    <mergeCell ref="BW115:BX115"/>
    <mergeCell ref="BW116:BX116"/>
    <mergeCell ref="BW117:BX117"/>
    <mergeCell ref="BW118:BX118"/>
    <mergeCell ref="BW109:BX109"/>
    <mergeCell ref="BW110:BX110"/>
    <mergeCell ref="BW111:BX111"/>
    <mergeCell ref="BW112:BX112"/>
    <mergeCell ref="BW113:BX113"/>
    <mergeCell ref="BW104:BX104"/>
    <mergeCell ref="BW105:BX105"/>
    <mergeCell ref="BW106:BX106"/>
    <mergeCell ref="BW107:BX107"/>
    <mergeCell ref="BW108:BX108"/>
    <mergeCell ref="BW99:BX99"/>
    <mergeCell ref="BW100:BX100"/>
    <mergeCell ref="BW101:BX101"/>
    <mergeCell ref="BW102:BX102"/>
    <mergeCell ref="BW103:BX103"/>
    <mergeCell ref="BW94:BX94"/>
    <mergeCell ref="BW95:BX95"/>
    <mergeCell ref="BW96:BX96"/>
    <mergeCell ref="BW97:BX97"/>
    <mergeCell ref="BW98:BX98"/>
    <mergeCell ref="BW89:BX89"/>
    <mergeCell ref="BW90:BX90"/>
    <mergeCell ref="BW91:BX91"/>
    <mergeCell ref="BW92:BX92"/>
    <mergeCell ref="BW93:BX93"/>
    <mergeCell ref="BW84:BX84"/>
    <mergeCell ref="BW85:BX85"/>
    <mergeCell ref="BW86:BX86"/>
    <mergeCell ref="BW87:BX87"/>
    <mergeCell ref="BW88:BX88"/>
    <mergeCell ref="BW79:BX79"/>
    <mergeCell ref="BW80:BX80"/>
    <mergeCell ref="BW81:BX81"/>
    <mergeCell ref="BW82:BX82"/>
    <mergeCell ref="BW83:BX83"/>
    <mergeCell ref="BW74:BX74"/>
    <mergeCell ref="BW75:BX75"/>
    <mergeCell ref="BW76:BX76"/>
    <mergeCell ref="BW77:BX77"/>
    <mergeCell ref="BW78:BX78"/>
    <mergeCell ref="BW69:BX69"/>
    <mergeCell ref="BW70:BX70"/>
    <mergeCell ref="BW71:BX71"/>
    <mergeCell ref="BW72:BX72"/>
    <mergeCell ref="BW73:BX73"/>
    <mergeCell ref="BW64:BX64"/>
    <mergeCell ref="BW65:BX65"/>
    <mergeCell ref="BW66:BX66"/>
    <mergeCell ref="BW67:BX67"/>
    <mergeCell ref="BW68:BX68"/>
    <mergeCell ref="BW59:BX59"/>
    <mergeCell ref="BW60:BX60"/>
    <mergeCell ref="BW61:BX61"/>
    <mergeCell ref="BW62:BX62"/>
    <mergeCell ref="BW63:BX63"/>
    <mergeCell ref="BW54:BX54"/>
    <mergeCell ref="BW55:BX55"/>
    <mergeCell ref="BW56:BX56"/>
    <mergeCell ref="BW57:BX57"/>
    <mergeCell ref="BW58:BX58"/>
    <mergeCell ref="BW49:BX49"/>
    <mergeCell ref="BW50:BX50"/>
    <mergeCell ref="BW51:BX51"/>
    <mergeCell ref="BW52:BX52"/>
    <mergeCell ref="BW53:BX53"/>
    <mergeCell ref="BW44:BX44"/>
    <mergeCell ref="BW45:BX45"/>
    <mergeCell ref="BW46:BX46"/>
    <mergeCell ref="BW47:BX47"/>
    <mergeCell ref="BW48:BX48"/>
    <mergeCell ref="BW39:BX39"/>
    <mergeCell ref="BW40:BX40"/>
    <mergeCell ref="BW41:BX41"/>
    <mergeCell ref="BW42:BX42"/>
    <mergeCell ref="BW43:BX43"/>
    <mergeCell ref="BW34:BX34"/>
    <mergeCell ref="BW35:BX35"/>
    <mergeCell ref="BW36:BX36"/>
    <mergeCell ref="BW37:BX37"/>
    <mergeCell ref="BW38:BX38"/>
    <mergeCell ref="BW10:BX10"/>
    <mergeCell ref="BW11:BX11"/>
    <mergeCell ref="BW12:BX12"/>
    <mergeCell ref="BW13:BX13"/>
    <mergeCell ref="BW29:BX29"/>
    <mergeCell ref="BW30:BX30"/>
    <mergeCell ref="BW31:BX31"/>
    <mergeCell ref="BW32:BX32"/>
    <mergeCell ref="BW33:BX33"/>
    <mergeCell ref="BW24:BX24"/>
    <mergeCell ref="BW25:BX25"/>
    <mergeCell ref="BW26:BX26"/>
    <mergeCell ref="BW27:BX27"/>
    <mergeCell ref="BW28:BX28"/>
    <mergeCell ref="BW22:BX22"/>
    <mergeCell ref="BW23:BX23"/>
    <mergeCell ref="BW14:BX14"/>
    <mergeCell ref="BW15:BX15"/>
    <mergeCell ref="BW16:BX16"/>
    <mergeCell ref="A3:E3"/>
    <mergeCell ref="AF3:AT3"/>
    <mergeCell ref="AF4:AT4"/>
    <mergeCell ref="AW8:AX8"/>
    <mergeCell ref="AY8:AZ8"/>
    <mergeCell ref="BA8:BB8"/>
    <mergeCell ref="R4:Y4"/>
    <mergeCell ref="AV3:BB3"/>
    <mergeCell ref="AW6:AX6"/>
    <mergeCell ref="AY6:AZ6"/>
    <mergeCell ref="BA6:BB6"/>
    <mergeCell ref="AW7:AX7"/>
    <mergeCell ref="AY7:AZ7"/>
    <mergeCell ref="BA7:BB7"/>
    <mergeCell ref="R3:AD3"/>
    <mergeCell ref="AV4:BB4"/>
    <mergeCell ref="AA4:AD4"/>
    <mergeCell ref="I3:P3"/>
    <mergeCell ref="BE9:BG9"/>
    <mergeCell ref="BQ6:BS6"/>
    <mergeCell ref="BE6:BG6"/>
    <mergeCell ref="AW9:AX9"/>
    <mergeCell ref="AY9:AZ9"/>
    <mergeCell ref="BA9:BB9"/>
    <mergeCell ref="AW10:AX10"/>
    <mergeCell ref="AY10:AZ10"/>
    <mergeCell ref="BA10:BB10"/>
    <mergeCell ref="BN9:BP9"/>
    <mergeCell ref="BK9:BM9"/>
    <mergeCell ref="BH9:BJ9"/>
    <mergeCell ref="BQ9:BS9"/>
    <mergeCell ref="CK3:CM3"/>
    <mergeCell ref="CG6:CH6"/>
    <mergeCell ref="BH6:BJ6"/>
    <mergeCell ref="BK6:BM6"/>
    <mergeCell ref="CG7:CH7"/>
    <mergeCell ref="CG8:CH8"/>
    <mergeCell ref="CG9:CH9"/>
    <mergeCell ref="AW12:AX12"/>
    <mergeCell ref="AY12:AZ12"/>
    <mergeCell ref="BD3:CD3"/>
    <mergeCell ref="BD4:CD4"/>
    <mergeCell ref="BW9:BX9"/>
    <mergeCell ref="BT9:BV9"/>
    <mergeCell ref="BW5:BX5"/>
    <mergeCell ref="BW8:BX8"/>
    <mergeCell ref="BW6:BX6"/>
    <mergeCell ref="BT5:BV5"/>
    <mergeCell ref="BT6:BV6"/>
    <mergeCell ref="BQ5:BS5"/>
    <mergeCell ref="BE5:BG5"/>
    <mergeCell ref="BK5:BM5"/>
    <mergeCell ref="BH5:BJ5"/>
    <mergeCell ref="BN5:BP5"/>
    <mergeCell ref="BN6:BP6"/>
    <mergeCell ref="CG10:CH10"/>
    <mergeCell ref="CG11:CH11"/>
    <mergeCell ref="CG12:CH12"/>
    <mergeCell ref="CG13:CH13"/>
    <mergeCell ref="BA14:BB14"/>
    <mergeCell ref="BA23:BB23"/>
    <mergeCell ref="AY23:AZ23"/>
    <mergeCell ref="AW23:AX23"/>
    <mergeCell ref="BA22:BB22"/>
    <mergeCell ref="BA21:BB21"/>
    <mergeCell ref="BA20:BB20"/>
    <mergeCell ref="BA19:BB19"/>
    <mergeCell ref="AW21:AX21"/>
    <mergeCell ref="AW20:AX20"/>
    <mergeCell ref="AW19:AX19"/>
    <mergeCell ref="AW18:AX18"/>
    <mergeCell ref="BW19:BX19"/>
    <mergeCell ref="BW20:BX20"/>
    <mergeCell ref="BW21:BX21"/>
    <mergeCell ref="BW17:BX17"/>
    <mergeCell ref="BW18:BX18"/>
    <mergeCell ref="AW22:AX22"/>
    <mergeCell ref="AY14:AZ14"/>
    <mergeCell ref="I4:P4"/>
    <mergeCell ref="A4:G4"/>
    <mergeCell ref="I45:M45"/>
    <mergeCell ref="L43:N43"/>
    <mergeCell ref="L41:N41"/>
    <mergeCell ref="I43:J43"/>
    <mergeCell ref="L40:N40"/>
    <mergeCell ref="L42:N42"/>
    <mergeCell ref="L39:N39"/>
    <mergeCell ref="L38:N38"/>
    <mergeCell ref="L37:N37"/>
    <mergeCell ref="I37:J37"/>
    <mergeCell ref="I39:J39"/>
    <mergeCell ref="I38:J38"/>
    <mergeCell ref="I40:J40"/>
    <mergeCell ref="I41:J41"/>
    <mergeCell ref="I42:J42"/>
    <mergeCell ref="C7:G7"/>
    <mergeCell ref="C12:G12"/>
    <mergeCell ref="C16:G16"/>
    <mergeCell ref="C19:G19"/>
    <mergeCell ref="F23:G23"/>
    <mergeCell ref="I15:M15"/>
    <mergeCell ref="N15:P15"/>
  </mergeCells>
  <phoneticPr fontId="30" type="noConversion"/>
  <conditionalFormatting sqref="C34:C37 C24:C29 C20:C22 C17:C18 C8:C11 C13:C15">
    <cfRule type="dataBar" priority="29">
      <dataBar>
        <cfvo type="min"/>
        <cfvo type="num" val="500"/>
        <color rgb="FF29140C"/>
      </dataBar>
      <extLst>
        <ext xmlns:x14="http://schemas.microsoft.com/office/spreadsheetml/2009/9/main" uri="{B025F937-C7B1-47D3-B67F-A62EFF666E3E}">
          <x14:id>{F0A87D98-799A-4E4B-BBA9-34D24795482A}</x14:id>
        </ext>
      </extLst>
    </cfRule>
  </conditionalFormatting>
  <conditionalFormatting sqref="C62:C63 C57:C59 C46:C48 C30:C32 C50:C55">
    <cfRule type="dataBar" priority="31">
      <dataBar>
        <cfvo type="min"/>
        <cfvo type="num" val="500"/>
        <color rgb="FF29140C"/>
      </dataBar>
      <extLst>
        <ext xmlns:x14="http://schemas.microsoft.com/office/spreadsheetml/2009/9/main" uri="{B025F937-C7B1-47D3-B67F-A62EFF666E3E}">
          <x14:id>{354AD68E-FBDE-4836-9B91-C7C08C9F4C0C}</x14:id>
        </ext>
      </extLst>
    </cfRule>
  </conditionalFormatting>
  <conditionalFormatting sqref="C74:C75 C64 C70:C72 C66:C68">
    <cfRule type="dataBar" priority="3">
      <dataBar>
        <cfvo type="min"/>
        <cfvo type="num" val="500"/>
        <color rgb="FF29140C"/>
      </dataBar>
      <extLst>
        <ext xmlns:x14="http://schemas.microsoft.com/office/spreadsheetml/2009/9/main" uri="{B025F937-C7B1-47D3-B67F-A62EFF666E3E}">
          <x14:id>{625DD75D-0AD7-4192-9272-209841DEFB7F}</x14:id>
        </ext>
      </extLst>
    </cfRule>
  </conditionalFormatting>
  <conditionalFormatting sqref="C77:C83 C38:C43">
    <cfRule type="dataBar" priority="38">
      <dataBar>
        <cfvo type="min"/>
        <cfvo type="num" val="500"/>
        <color rgb="FF29140C"/>
      </dataBar>
      <extLst>
        <ext xmlns:x14="http://schemas.microsoft.com/office/spreadsheetml/2009/9/main" uri="{B025F937-C7B1-47D3-B67F-A62EFF666E3E}">
          <x14:id>{1433BB2C-D02B-4923-810D-87D9DA887960}</x14:id>
        </ext>
      </extLst>
    </cfRule>
  </conditionalFormatting>
  <conditionalFormatting sqref="J72:J118 J70">
    <cfRule type="dataBar" priority="30">
      <dataBar>
        <cfvo type="min"/>
        <cfvo type="num" val="500"/>
        <color rgb="FF29140C"/>
      </dataBar>
      <extLst>
        <ext xmlns:x14="http://schemas.microsoft.com/office/spreadsheetml/2009/9/main" uri="{B025F937-C7B1-47D3-B67F-A62EFF666E3E}">
          <x14:id>{2110E7E4-C34D-4389-B8EB-2CF7B9E91FE3}</x14:id>
        </ext>
      </extLst>
    </cfRule>
  </conditionalFormatting>
  <conditionalFormatting sqref="U6:U158">
    <cfRule type="dataBar" priority="13">
      <dataBar>
        <cfvo type="min"/>
        <cfvo type="max"/>
        <color rgb="FF63C384"/>
      </dataBar>
      <extLst>
        <ext xmlns:x14="http://schemas.microsoft.com/office/spreadsheetml/2009/9/main" uri="{B025F937-C7B1-47D3-B67F-A62EFF666E3E}">
          <x14:id>{31E65F5B-3CEC-4EC5-81E0-F82FCE969AB4}</x14:id>
        </ext>
      </extLst>
    </cfRule>
  </conditionalFormatting>
  <hyperlinks>
    <hyperlink ref="BD167" r:id="rId1" tooltip="Guide de styles BJCP 2021/30B. Biere d’Automne" display="https://www.brassageamateur.com/wiki/Guide_de_styles_BJCP_2021/30B._Biere_d%E2%80%99Automne" xr:uid="{0A32B798-2CFC-48E6-8D33-429395DC215A}"/>
    <hyperlink ref="BD168" r:id="rId2" tooltip="Guide de styles BJCP 2021/30C. Winter Beer" display="https://www.brassageamateur.com/wiki/Guide_de_styles_BJCP_2021/30C._Winter_Beer" xr:uid="{B93A43EA-744F-4A31-ACA0-14B47CA072E9}"/>
    <hyperlink ref="BD169" r:id="rId3" tooltip="Guide de styles BJCP 2021/30D. Biere Spéciale aux Epices" display="https://www.brassageamateur.com/wiki/Guide_de_styles_BJCP_2021/30D._Biere_Sp%C3%A9ciale_aux_Epices" xr:uid="{6788FB59-A155-4482-9A4C-0C3742D898A9}"/>
    <hyperlink ref="BD171" r:id="rId4" tooltip="Guide de styles BJCP 2021/31A. Biere aux Cereales Alternatives" display="https://www.brassageamateur.com/wiki/Guide_de_styles_BJCP_2021/31A._Biere_aux_Cereales_Alternatives" xr:uid="{6AE9AD54-9DEE-4985-8AE8-8D64DBA10AA6}"/>
    <hyperlink ref="BD172" r:id="rId5" tooltip="Guide de styles BJCP 2021/31B. Biere aux Sucres Alternatifs" display="https://www.brassageamateur.com/wiki/Guide_de_styles_BJCP_2021/31B._Biere_aux_Sucres_Alternatifs" xr:uid="{59CDE1B8-A788-45D9-9058-D6356D5A4467}"/>
    <hyperlink ref="BD174" r:id="rId6" tooltip="Guide de styles BJCP 2021/32A. Biere Fumee Classique" display="https://www.brassageamateur.com/wiki/Guide_de_styles_BJCP_2021/32A._Biere_Fumee_Classique" xr:uid="{12349868-3212-467B-8CF3-1B0C324ED14D}"/>
    <hyperlink ref="BD175" r:id="rId7" tooltip="Guide de styles BJCP 2021/32A. Biere Fumee Speciale" display="https://www.brassageamateur.com/wiki/Guide_de_styles_BJCP_2021/32A._Biere_Fumee_Speciale" xr:uid="{D04E718C-861A-420E-90E1-5F31658EEC14}"/>
    <hyperlink ref="BD177" r:id="rId8" tooltip="Guide de styles BJCP 2021/33A. Wood-Aged Beer" display="https://www.brassageamateur.com/wiki/Guide_de_styles_BJCP_2021/33A._Wood-Aged_Beer" xr:uid="{0931D7F0-D17B-40E3-9A27-EF7FEF968D8C}"/>
    <hyperlink ref="BD178" r:id="rId9" tooltip="Guide de styles BJCP 2021/33A. Specialty Wood-Aged Beer" display="https://www.brassageamateur.com/wiki/Guide_de_styles_BJCP_2021/33A._Specialty_Wood-Aged_Beer" xr:uid="{43FDD1F2-EF2F-4C14-A928-D15BB504ABAA}"/>
    <hyperlink ref="BD180" r:id="rId10" tooltip="Guide de styles BJCP 2021/34A. Commercial Specialty Beer" display="https://www.brassageamateur.com/wiki/Guide_de_styles_BJCP_2021/34A._Commercial_Specialty_Beer" xr:uid="{62C401F0-A1F2-40D6-89F1-38B785E58386}"/>
    <hyperlink ref="BD181" r:id="rId11" tooltip="Guide de styles BJCP 2021/34B. Mixed-Style Beer" display="https://www.brassageamateur.com/wiki/Guide_de_styles_BJCP_2021/34B._Mixed-Style_Beer" xr:uid="{ECD7252D-0E6C-4354-BC83-83E19107EE94}"/>
    <hyperlink ref="BD182" r:id="rId12" tooltip="Guide de styles BJCP 2021/34C. Experimental Beer" display="https://www.brassageamateur.com/wiki/Guide_de_styles_BJCP_2021/34C._Experimental_Beer" xr:uid="{C1001B6A-39D6-43D7-8DFB-323A4923E48C}"/>
    <hyperlink ref="BD11" r:id="rId13" tooltip="Guide de styles BJCP 2021/30B. Biere d’Automne" display="https://www.brassageamateur.com/wiki/Guide_de_styles_BJCP_2021/30B._Biere_d%E2%80%99Automne" xr:uid="{FB875FA7-5C76-495D-9451-6E5420DBC300}"/>
    <hyperlink ref="BD12" r:id="rId14" tooltip="Guide de styles BJCP 2021/30C. Winter Beer" display="https://www.brassageamateur.com/wiki/Guide_de_styles_BJCP_2021/30C._Winter_Beer" xr:uid="{17A85194-6562-41BA-A5DB-04B4A74B94FE}"/>
    <hyperlink ref="BD13" r:id="rId15" tooltip="Guide de styles BJCP 2021/30D. Biere Spéciale aux Epices" display="https://www.brassageamateur.com/wiki/Guide_de_styles_BJCP_2021/30D._Biere_Sp%C3%A9ciale_aux_Epices" xr:uid="{CB087824-406F-486B-A70A-694A18EA5346}"/>
    <hyperlink ref="BD14" r:id="rId16" tooltip="Guide de styles BJCP 2021/31A. Biere aux Cereales Alternatives" display="https://www.brassageamateur.com/wiki/Guide_de_styles_BJCP_2021/31A._Biere_aux_Cereales_Alternatives" xr:uid="{35A4E4FD-43F5-4B13-8802-E23BA2FE7ABD}"/>
    <hyperlink ref="BD16" r:id="rId17" tooltip="Guide de styles BJCP 2021/31B. Biere aux Sucres Alternatifs" display="https://www.brassageamateur.com/wiki/Guide_de_styles_BJCP_2021/31B._Biere_aux_Sucres_Alternatifs" xr:uid="{6DE1BF61-7F0F-4807-82E2-3B17B3560C9C}"/>
    <hyperlink ref="BD17" r:id="rId18" tooltip="Guide de styles BJCP 2021/32A. Biere Fumee Classique" display="https://www.brassageamateur.com/wiki/Guide_de_styles_BJCP_2021/32A._Biere_Fumee_Classique" xr:uid="{4ABE426B-B546-4E99-83AE-D848D289EFA2}"/>
    <hyperlink ref="BD18" r:id="rId19" tooltip="Guide de styles BJCP 2021/32A. Biere Fumee Speciale" display="https://www.brassageamateur.com/wiki/Guide_de_styles_BJCP_2021/32A._Biere_Fumee_Speciale" xr:uid="{273FA84E-CC04-4CC6-BD55-6516424B52D0}"/>
    <hyperlink ref="BD20" r:id="rId20" tooltip="Guide de styles BJCP 2021/33A. Wood-Aged Beer" display="https://www.brassageamateur.com/wiki/Guide_de_styles_BJCP_2021/33A._Wood-Aged_Beer" xr:uid="{0E712993-4990-43AA-B491-3604FA001035}"/>
    <hyperlink ref="BD21" r:id="rId21" tooltip="Guide de styles BJCP 2021/33A. Specialty Wood-Aged Beer" display="https://www.brassageamateur.com/wiki/Guide_de_styles_BJCP_2021/33A._Specialty_Wood-Aged_Beer" xr:uid="{BA7521CF-D355-4A5E-AE08-EEEF1C646521}"/>
    <hyperlink ref="BD22" r:id="rId22" tooltip="Guide de styles BJCP 2021/34A. Commercial Specialty Beer" display="https://www.brassageamateur.com/wiki/Guide_de_styles_BJCP_2021/34A._Commercial_Specialty_Beer" xr:uid="{0E1C9F58-D0C3-4662-AAC8-B9BBD183CD53}"/>
    <hyperlink ref="BD23" r:id="rId23" tooltip="Guide de styles BJCP 2021/34B. Mixed-Style Beer" display="https://www.brassageamateur.com/wiki/Guide_de_styles_BJCP_2021/34B._Mixed-Style_Beer" xr:uid="{2C4CD9DD-2B78-4933-BDC7-17B2A3DF7648}"/>
    <hyperlink ref="BD25" r:id="rId24" tooltip="Guide de styles BJCP 2021/34C. Experimental Beer" display="https://www.brassageamateur.com/wiki/Guide_de_styles_BJCP_2021/34C._Experimental_Beer" xr:uid="{42AC18A9-A068-4495-BCF1-46797574918A}"/>
    <hyperlink ref="A31" r:id="rId25" display="https://www.autobrasseur.fr/malts-et-flocons/588-malt-acide-6-12-ebc.html" xr:uid="{963BB6E1-9437-4756-9534-35F6021E0BA7}"/>
    <hyperlink ref="A30" r:id="rId26" display="https://www.autobrasseur.fr/malts-et-flocons/587-malt-smoked-fume-412-ebc.html" xr:uid="{F6F9CD08-5C79-437B-8868-82A11FB8DAEE}"/>
  </hyperlinks>
  <pageMargins left="0.7" right="0.7" top="0.75" bottom="0.75" header="0.3" footer="0.3"/>
  <pageSetup paperSize="9" orientation="portrait" r:id="rId27"/>
  <drawing r:id="rId28"/>
  <legacyDrawing r:id="rId29"/>
  <tableParts count="2">
    <tablePart r:id="rId30"/>
    <tablePart r:id="rId31"/>
  </tableParts>
  <extLst>
    <ext xmlns:x14="http://schemas.microsoft.com/office/spreadsheetml/2009/9/main" uri="{78C0D931-6437-407d-A8EE-F0AAD7539E65}">
      <x14:conditionalFormattings>
        <x14:conditionalFormatting xmlns:xm="http://schemas.microsoft.com/office/excel/2006/main">
          <x14:cfRule type="dataBar" id="{F0A87D98-799A-4E4B-BBA9-34D24795482A}">
            <x14:dataBar minLength="0" maxLength="100" border="1" direction="rightToLeft" negativeBarBorderColorSameAsPositive="0">
              <x14:cfvo type="autoMin"/>
              <x14:cfvo type="num">
                <xm:f>500</xm:f>
              </x14:cfvo>
              <x14:borderColor theme="7"/>
              <x14:negativeFillColor rgb="FFFF0000"/>
              <x14:negativeBorderColor rgb="FFFF0000"/>
              <x14:axisColor rgb="FF000000"/>
            </x14:dataBar>
          </x14:cfRule>
          <xm:sqref>C34:C37 C24:C29 C20:C22 C17:C18 C8:C11 C13:C15</xm:sqref>
        </x14:conditionalFormatting>
        <x14:conditionalFormatting xmlns:xm="http://schemas.microsoft.com/office/excel/2006/main">
          <x14:cfRule type="dataBar" id="{354AD68E-FBDE-4836-9B91-C7C08C9F4C0C}">
            <x14:dataBar minLength="0" maxLength="100" border="1" direction="rightToLeft" negativeBarBorderColorSameAsPositive="0">
              <x14:cfvo type="autoMin"/>
              <x14:cfvo type="num">
                <xm:f>500</xm:f>
              </x14:cfvo>
              <x14:borderColor theme="7"/>
              <x14:negativeFillColor rgb="FFFF0000"/>
              <x14:negativeBorderColor rgb="FFFF0000"/>
              <x14:axisColor rgb="FF000000"/>
            </x14:dataBar>
          </x14:cfRule>
          <xm:sqref>C62:C63 C57:C59 C46:C48 C30:C32 C50:C55</xm:sqref>
        </x14:conditionalFormatting>
        <x14:conditionalFormatting xmlns:xm="http://schemas.microsoft.com/office/excel/2006/main">
          <x14:cfRule type="dataBar" id="{625DD75D-0AD7-4192-9272-209841DEFB7F}">
            <x14:dataBar minLength="0" maxLength="100" border="1" direction="rightToLeft" negativeBarBorderColorSameAsPositive="0">
              <x14:cfvo type="autoMin"/>
              <x14:cfvo type="num">
                <xm:f>500</xm:f>
              </x14:cfvo>
              <x14:borderColor theme="7"/>
              <x14:negativeFillColor rgb="FFFF0000"/>
              <x14:negativeBorderColor rgb="FFFF0000"/>
              <x14:axisColor rgb="FF000000"/>
            </x14:dataBar>
          </x14:cfRule>
          <xm:sqref>C74:C75 C64 C70:C72 C66:C68</xm:sqref>
        </x14:conditionalFormatting>
        <x14:conditionalFormatting xmlns:xm="http://schemas.microsoft.com/office/excel/2006/main">
          <x14:cfRule type="dataBar" id="{1433BB2C-D02B-4923-810D-87D9DA887960}">
            <x14:dataBar minLength="0" maxLength="100" border="1" direction="rightToLeft" negativeBarBorderColorSameAsPositive="0">
              <x14:cfvo type="autoMin"/>
              <x14:cfvo type="num">
                <xm:f>500</xm:f>
              </x14:cfvo>
              <x14:borderColor theme="7"/>
              <x14:negativeFillColor rgb="FFFF0000"/>
              <x14:negativeBorderColor rgb="FFFF0000"/>
              <x14:axisColor rgb="FF000000"/>
            </x14:dataBar>
          </x14:cfRule>
          <xm:sqref>C77:C83 C38:C43</xm:sqref>
        </x14:conditionalFormatting>
        <x14:conditionalFormatting xmlns:xm="http://schemas.microsoft.com/office/excel/2006/main">
          <x14:cfRule type="dataBar" id="{2110E7E4-C34D-4389-B8EB-2CF7B9E91FE3}">
            <x14:dataBar minLength="0" maxLength="100" border="1" direction="rightToLeft" negativeBarBorderColorSameAsPositive="0">
              <x14:cfvo type="autoMin"/>
              <x14:cfvo type="num">
                <xm:f>500</xm:f>
              </x14:cfvo>
              <x14:borderColor theme="7"/>
              <x14:negativeFillColor rgb="FFFF0000"/>
              <x14:negativeBorderColor rgb="FFFF0000"/>
              <x14:axisColor rgb="FF000000"/>
            </x14:dataBar>
          </x14:cfRule>
          <xm:sqref>J72:J118 J70</xm:sqref>
        </x14:conditionalFormatting>
        <x14:conditionalFormatting xmlns:xm="http://schemas.microsoft.com/office/excel/2006/main">
          <x14:cfRule type="dataBar" id="{31E65F5B-3CEC-4EC5-81E0-F82FCE969AB4}">
            <x14:dataBar minLength="0" maxLength="100" border="1" negativeBarBorderColorSameAsPositive="0">
              <x14:cfvo type="autoMin"/>
              <x14:cfvo type="autoMax"/>
              <x14:borderColor rgb="FF63C384"/>
              <x14:negativeFillColor rgb="FFFF0000"/>
              <x14:negativeBorderColor rgb="FFFF0000"/>
              <x14:axisColor rgb="FF000000"/>
            </x14:dataBar>
          </x14:cfRule>
          <xm:sqref>U6:U158</xm:sqref>
        </x14:conditionalFormatting>
      </x14:conditionalFormattings>
    </ext>
  </extLst>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C13329-8B17-446E-ADA3-36340578858E}">
  <dimension ref="B1:AV130"/>
  <sheetViews>
    <sheetView workbookViewId="0">
      <pane ySplit="6" topLeftCell="A7" activePane="bottomLeft" state="frozen"/>
      <selection pane="bottomLeft" activeCell="A11" sqref="A11"/>
    </sheetView>
  </sheetViews>
  <sheetFormatPr baseColWidth="10" defaultRowHeight="15"/>
  <cols>
    <col min="2" max="2" width="25.85546875" style="226" customWidth="1"/>
    <col min="3" max="3" width="15.5703125" customWidth="1"/>
    <col min="4" max="4" width="9.140625" style="16" customWidth="1"/>
    <col min="5" max="5" width="11.42578125" style="649"/>
    <col min="6" max="6" width="11.42578125" style="650"/>
    <col min="7" max="7" width="11.42578125" style="649"/>
    <col min="8" max="8" width="11.42578125" style="650"/>
    <col min="9" max="9" width="11.42578125" style="649"/>
    <col min="10" max="10" width="11.42578125" style="650"/>
    <col min="11" max="11" width="11.42578125" style="649"/>
    <col min="12" max="12" width="11.42578125" style="650"/>
    <col min="13" max="13" width="11.42578125" style="649"/>
    <col min="14" max="14" width="11.42578125" style="650"/>
    <col min="15" max="15" width="13" style="649" customWidth="1"/>
    <col min="16" max="16" width="13.28515625" style="650" customWidth="1"/>
    <col min="17" max="17" width="11.42578125" style="649"/>
    <col min="18" max="18" width="11.42578125" style="650"/>
    <col min="19" max="19" width="11.42578125" style="649"/>
    <col min="20" max="20" width="11.42578125" style="650"/>
    <col min="21" max="21" width="11.42578125" style="649"/>
    <col min="22" max="22" width="11.42578125" style="650"/>
    <col min="23" max="23" width="11.42578125" style="649"/>
    <col min="24" max="24" width="11.42578125" style="650"/>
    <col min="25" max="25" width="11.42578125" style="649"/>
    <col min="26" max="26" width="11.42578125" style="650"/>
    <col min="27" max="27" width="11.85546875" style="642" customWidth="1"/>
    <col min="28" max="28" width="12.140625" style="638" customWidth="1"/>
    <col min="29" max="29" width="11.42578125" style="649"/>
    <col min="30" max="30" width="11.42578125" style="650"/>
  </cols>
  <sheetData>
    <row r="1" spans="2:48">
      <c r="Q1" s="1284"/>
      <c r="R1" s="1285"/>
      <c r="S1" s="1284"/>
      <c r="T1" s="1285"/>
      <c r="U1" s="1284"/>
      <c r="V1" s="1285"/>
      <c r="W1" s="1284"/>
      <c r="X1" s="1285"/>
      <c r="Y1" s="1284"/>
      <c r="Z1" s="1285"/>
      <c r="AC1" s="1284"/>
      <c r="AD1" s="1285"/>
    </row>
    <row r="2" spans="2:48">
      <c r="Q2" s="1284"/>
      <c r="R2" s="1285"/>
      <c r="S2" s="1284"/>
      <c r="T2" s="1285"/>
      <c r="U2" s="1284"/>
      <c r="V2" s="1285"/>
      <c r="W2" s="1284"/>
      <c r="X2" s="1285"/>
      <c r="Y2" s="1284"/>
      <c r="Z2" s="1285"/>
      <c r="AC2" s="1284"/>
      <c r="AD2" s="1285"/>
    </row>
    <row r="3" spans="2:48">
      <c r="Q3"/>
      <c r="R3"/>
      <c r="S3"/>
      <c r="T3"/>
      <c r="U3"/>
      <c r="V3"/>
      <c r="W3"/>
      <c r="X3"/>
      <c r="Y3"/>
      <c r="Z3"/>
      <c r="AA3"/>
      <c r="AB3"/>
      <c r="AC3"/>
      <c r="AD3"/>
    </row>
    <row r="4" spans="2:48">
      <c r="E4" s="1230" t="s">
        <v>2225</v>
      </c>
      <c r="F4" s="1231"/>
      <c r="G4" s="1231"/>
      <c r="H4" s="1231"/>
      <c r="I4" s="1231"/>
      <c r="J4" s="1232"/>
      <c r="K4" s="1228" t="s">
        <v>610</v>
      </c>
      <c r="L4" s="1229"/>
      <c r="M4" s="1233" t="s">
        <v>608</v>
      </c>
      <c r="N4" s="1234"/>
      <c r="O4" s="1226" t="s">
        <v>2224</v>
      </c>
      <c r="P4" s="1227"/>
      <c r="Q4" s="1227"/>
      <c r="R4" s="1227"/>
      <c r="S4" s="1227"/>
      <c r="T4" s="1227"/>
      <c r="U4" s="1227"/>
      <c r="V4" s="1227"/>
      <c r="W4" s="1227"/>
      <c r="X4" s="1227"/>
      <c r="Y4" s="1227"/>
      <c r="Z4" s="1227"/>
      <c r="AA4" s="1227"/>
      <c r="AB4" s="1227"/>
      <c r="AC4"/>
      <c r="AD4"/>
    </row>
    <row r="5" spans="2:48">
      <c r="C5" t="s">
        <v>2228</v>
      </c>
      <c r="E5" s="1214" t="s">
        <v>604</v>
      </c>
      <c r="F5" s="1215"/>
      <c r="G5" s="1216" t="s">
        <v>606</v>
      </c>
      <c r="H5" s="1217"/>
      <c r="I5" s="1218" t="s">
        <v>612</v>
      </c>
      <c r="J5" s="1219"/>
      <c r="K5" s="1220" t="s">
        <v>693</v>
      </c>
      <c r="L5" s="1221"/>
      <c r="M5" s="1222" t="s">
        <v>2</v>
      </c>
      <c r="N5" s="1223"/>
      <c r="O5" s="1224" t="s">
        <v>2223</v>
      </c>
      <c r="P5" s="1225"/>
      <c r="Q5" s="1224" t="s">
        <v>871</v>
      </c>
      <c r="R5" s="1225"/>
      <c r="S5" s="1224" t="s">
        <v>873</v>
      </c>
      <c r="T5" s="1225"/>
      <c r="U5" s="1224" t="s">
        <v>875</v>
      </c>
      <c r="V5" s="1225"/>
      <c r="W5" s="1224" t="s">
        <v>877</v>
      </c>
      <c r="X5" s="1225"/>
      <c r="Y5" s="1224" t="s">
        <v>879</v>
      </c>
      <c r="Z5" s="1225"/>
      <c r="AA5" s="1235" t="s">
        <v>881</v>
      </c>
      <c r="AB5" s="1225"/>
      <c r="AC5" s="1212" t="s">
        <v>2134</v>
      </c>
      <c r="AD5" s="1213"/>
    </row>
    <row r="6" spans="2:48" s="16" customFormat="1" ht="30">
      <c r="B6" s="469" t="s">
        <v>601</v>
      </c>
      <c r="C6" s="16" t="s">
        <v>1</v>
      </c>
      <c r="D6" s="469" t="s">
        <v>2220</v>
      </c>
      <c r="E6" s="643" t="s">
        <v>2097</v>
      </c>
      <c r="F6" s="644" t="s">
        <v>2098</v>
      </c>
      <c r="G6" s="643" t="s">
        <v>2099</v>
      </c>
      <c r="H6" s="644" t="s">
        <v>2100</v>
      </c>
      <c r="I6" s="643" t="s">
        <v>2101</v>
      </c>
      <c r="J6" s="644" t="s">
        <v>2102</v>
      </c>
      <c r="K6" s="643" t="s">
        <v>2103</v>
      </c>
      <c r="L6" s="644" t="s">
        <v>2104</v>
      </c>
      <c r="M6" s="643" t="s">
        <v>2105</v>
      </c>
      <c r="N6" s="644" t="s">
        <v>2106</v>
      </c>
      <c r="O6" s="643" t="s">
        <v>2221</v>
      </c>
      <c r="P6" s="644" t="s">
        <v>2222</v>
      </c>
      <c r="Q6" s="643" t="s">
        <v>2113</v>
      </c>
      <c r="R6" s="644" t="s">
        <v>2114</v>
      </c>
      <c r="S6" s="643" t="s">
        <v>2115</v>
      </c>
      <c r="T6" s="644" t="s">
        <v>2116</v>
      </c>
      <c r="U6" s="643" t="s">
        <v>2107</v>
      </c>
      <c r="V6" s="644" t="s">
        <v>2108</v>
      </c>
      <c r="W6" s="643" t="s">
        <v>2109</v>
      </c>
      <c r="X6" s="644" t="s">
        <v>2110</v>
      </c>
      <c r="Y6" s="643" t="s">
        <v>2111</v>
      </c>
      <c r="Z6" s="644" t="s">
        <v>2112</v>
      </c>
      <c r="AA6" s="639" t="s">
        <v>2117</v>
      </c>
      <c r="AB6" s="635" t="s">
        <v>2118</v>
      </c>
      <c r="AC6" s="643" t="s">
        <v>2119</v>
      </c>
      <c r="AD6" s="644" t="s">
        <v>2120</v>
      </c>
      <c r="AE6" s="16" t="s">
        <v>2121</v>
      </c>
      <c r="AF6" s="16" t="s">
        <v>2126</v>
      </c>
      <c r="AG6" s="16" t="s">
        <v>2127</v>
      </c>
      <c r="AH6" s="16" t="s">
        <v>2128</v>
      </c>
      <c r="AI6" s="16" t="s">
        <v>2129</v>
      </c>
      <c r="AJ6" s="16" t="s">
        <v>2130</v>
      </c>
      <c r="AK6" s="16" t="s">
        <v>2122</v>
      </c>
      <c r="AL6" s="16" t="s">
        <v>2123</v>
      </c>
      <c r="AM6" s="16" t="s">
        <v>2124</v>
      </c>
      <c r="AN6" s="16" t="s">
        <v>2125</v>
      </c>
      <c r="AO6" s="16" t="s">
        <v>2131</v>
      </c>
      <c r="AP6" s="16" t="s">
        <v>2132</v>
      </c>
      <c r="AQ6" s="16" t="s">
        <v>2229</v>
      </c>
    </row>
    <row r="7" spans="2:48">
      <c r="B7" s="671" t="s">
        <v>2230</v>
      </c>
      <c r="C7" s="127" t="s">
        <v>1183</v>
      </c>
      <c r="D7" s="622" t="s">
        <v>2138</v>
      </c>
      <c r="E7" s="740">
        <v>1.048</v>
      </c>
      <c r="F7" s="741">
        <v>1.056</v>
      </c>
      <c r="G7" s="740">
        <v>1.01</v>
      </c>
      <c r="H7" s="741">
        <v>1.014</v>
      </c>
      <c r="I7" s="740">
        <v>4.8</v>
      </c>
      <c r="J7" s="741">
        <v>5.6</v>
      </c>
      <c r="K7" s="740">
        <v>25</v>
      </c>
      <c r="L7" s="741">
        <v>40</v>
      </c>
      <c r="M7" s="740">
        <v>14</v>
      </c>
      <c r="N7" s="741">
        <v>22</v>
      </c>
      <c r="O7" s="740">
        <v>0.6</v>
      </c>
      <c r="P7" s="741">
        <v>1.2</v>
      </c>
      <c r="Q7" s="740">
        <v>30</v>
      </c>
      <c r="R7" s="741">
        <v>60</v>
      </c>
      <c r="S7" s="740">
        <v>0</v>
      </c>
      <c r="T7" s="741">
        <v>50</v>
      </c>
      <c r="U7" s="740">
        <v>50</v>
      </c>
      <c r="V7" s="741">
        <v>100</v>
      </c>
      <c r="W7" s="740">
        <v>5</v>
      </c>
      <c r="X7" s="741">
        <v>20</v>
      </c>
      <c r="Y7" s="740">
        <v>10</v>
      </c>
      <c r="Z7" s="741">
        <v>30</v>
      </c>
      <c r="AA7" s="622">
        <v>0</v>
      </c>
      <c r="AB7" s="622">
        <v>50</v>
      </c>
      <c r="AC7" s="740">
        <v>5.2</v>
      </c>
      <c r="AD7" s="741">
        <v>5.4</v>
      </c>
      <c r="AQ7" s="16"/>
      <c r="AV7" t="str">
        <f>""</f>
        <v/>
      </c>
    </row>
    <row r="8" spans="2:48">
      <c r="B8" s="671" t="s">
        <v>2231</v>
      </c>
      <c r="C8" s="127" t="s">
        <v>1183</v>
      </c>
      <c r="D8" s="622" t="s">
        <v>2137</v>
      </c>
      <c r="E8" s="740">
        <v>1.05</v>
      </c>
      <c r="F8" s="741">
        <v>1.06</v>
      </c>
      <c r="G8" s="740">
        <v>1.01</v>
      </c>
      <c r="H8" s="741">
        <v>1.014</v>
      </c>
      <c r="I8" s="740">
        <v>4.8</v>
      </c>
      <c r="J8" s="741">
        <v>5.8</v>
      </c>
      <c r="K8" s="740">
        <v>25</v>
      </c>
      <c r="L8" s="741">
        <v>40</v>
      </c>
      <c r="M8" s="740">
        <v>12</v>
      </c>
      <c r="N8" s="741">
        <v>25</v>
      </c>
      <c r="O8" s="740">
        <v>0.6</v>
      </c>
      <c r="P8" s="741">
        <v>1.2</v>
      </c>
      <c r="Q8" s="740">
        <v>30</v>
      </c>
      <c r="R8" s="741">
        <v>60</v>
      </c>
      <c r="S8" s="740">
        <v>0</v>
      </c>
      <c r="T8" s="741">
        <v>50</v>
      </c>
      <c r="U8" s="740">
        <v>50</v>
      </c>
      <c r="V8" s="741">
        <v>100</v>
      </c>
      <c r="W8" s="740">
        <v>5</v>
      </c>
      <c r="X8" s="741">
        <v>20</v>
      </c>
      <c r="Y8" s="740">
        <v>10</v>
      </c>
      <c r="Z8" s="741">
        <v>30</v>
      </c>
      <c r="AA8" s="622">
        <v>0</v>
      </c>
      <c r="AB8" s="622">
        <v>50</v>
      </c>
      <c r="AC8" s="740">
        <v>5.2</v>
      </c>
      <c r="AD8" s="741">
        <v>5.4</v>
      </c>
      <c r="AQ8" s="16"/>
    </row>
    <row r="9" spans="2:48">
      <c r="B9" s="671" t="s">
        <v>2232</v>
      </c>
      <c r="C9" s="127" t="s">
        <v>1179</v>
      </c>
      <c r="D9" s="622" t="s">
        <v>2201</v>
      </c>
      <c r="E9" s="740">
        <v>1.08</v>
      </c>
      <c r="F9" s="741">
        <v>1.1100000000000001</v>
      </c>
      <c r="G9" s="740">
        <v>1.018</v>
      </c>
      <c r="H9" s="741">
        <v>1.022</v>
      </c>
      <c r="I9" s="740">
        <v>8</v>
      </c>
      <c r="J9" s="741">
        <v>12</v>
      </c>
      <c r="K9" s="740">
        <v>50</v>
      </c>
      <c r="L9" s="741">
        <v>100</v>
      </c>
      <c r="M9" s="740">
        <v>30</v>
      </c>
      <c r="N9" s="741">
        <v>60</v>
      </c>
      <c r="O9" s="740">
        <v>0.6</v>
      </c>
      <c r="P9" s="741">
        <v>1.2</v>
      </c>
      <c r="Q9" s="740">
        <v>50</v>
      </c>
      <c r="R9" s="741">
        <v>120</v>
      </c>
      <c r="S9" s="740">
        <v>0</v>
      </c>
      <c r="T9" s="741">
        <v>50</v>
      </c>
      <c r="U9" s="740">
        <v>80</v>
      </c>
      <c r="V9" s="741">
        <v>160</v>
      </c>
      <c r="W9" s="740">
        <v>5</v>
      </c>
      <c r="X9" s="741">
        <v>30</v>
      </c>
      <c r="Y9" s="740">
        <v>10</v>
      </c>
      <c r="Z9" s="741">
        <v>50</v>
      </c>
      <c r="AA9" s="622">
        <v>0</v>
      </c>
      <c r="AB9" s="622">
        <v>60</v>
      </c>
      <c r="AC9" s="740">
        <v>5.3</v>
      </c>
      <c r="AD9" s="741">
        <v>5.5</v>
      </c>
      <c r="AQ9" s="16"/>
    </row>
    <row r="10" spans="2:48">
      <c r="B10" s="671" t="s">
        <v>2233</v>
      </c>
      <c r="C10" s="127" t="s">
        <v>1182</v>
      </c>
      <c r="D10" s="622" t="s">
        <v>2156</v>
      </c>
      <c r="E10" s="740">
        <v>1.05</v>
      </c>
      <c r="F10" s="741">
        <v>1.06</v>
      </c>
      <c r="G10" s="740">
        <v>1.01</v>
      </c>
      <c r="H10" s="741">
        <v>1.014</v>
      </c>
      <c r="I10" s="740">
        <v>5</v>
      </c>
      <c r="J10" s="741">
        <v>6</v>
      </c>
      <c r="K10" s="740">
        <v>25</v>
      </c>
      <c r="L10" s="741">
        <v>40</v>
      </c>
      <c r="M10" s="740">
        <v>18</v>
      </c>
      <c r="N10" s="741">
        <v>35</v>
      </c>
      <c r="O10" s="740">
        <v>0.6</v>
      </c>
      <c r="P10" s="741">
        <v>1.2</v>
      </c>
      <c r="Q10" s="740">
        <v>30</v>
      </c>
      <c r="R10" s="741">
        <v>60</v>
      </c>
      <c r="S10" s="740">
        <v>0</v>
      </c>
      <c r="T10" s="741">
        <v>50</v>
      </c>
      <c r="U10" s="740">
        <v>50</v>
      </c>
      <c r="V10" s="741">
        <v>100</v>
      </c>
      <c r="W10" s="740">
        <v>5</v>
      </c>
      <c r="X10" s="741">
        <v>25</v>
      </c>
      <c r="Y10" s="740">
        <v>10</v>
      </c>
      <c r="Z10" s="741">
        <v>30</v>
      </c>
      <c r="AA10" s="622">
        <v>0</v>
      </c>
      <c r="AB10" s="622">
        <v>50</v>
      </c>
      <c r="AC10" s="740">
        <v>5.2</v>
      </c>
      <c r="AD10" s="741">
        <v>5.4</v>
      </c>
      <c r="AQ10" s="16"/>
    </row>
    <row r="11" spans="2:48" ht="15.75">
      <c r="B11" s="671" t="s">
        <v>2234</v>
      </c>
      <c r="C11" s="19" t="s">
        <v>1155</v>
      </c>
      <c r="D11" s="622" t="s">
        <v>2166</v>
      </c>
      <c r="E11" s="651">
        <v>1.056</v>
      </c>
      <c r="F11" s="652">
        <v>1.07</v>
      </c>
      <c r="G11" s="651">
        <v>1.008</v>
      </c>
      <c r="H11" s="652">
        <v>1.014</v>
      </c>
      <c r="I11" s="651">
        <v>5.5</v>
      </c>
      <c r="J11" s="652">
        <v>7.5</v>
      </c>
      <c r="K11" s="651">
        <v>40</v>
      </c>
      <c r="L11" s="652">
        <v>70</v>
      </c>
      <c r="M11" s="651">
        <v>11.8</v>
      </c>
      <c r="N11" s="652">
        <v>27.5</v>
      </c>
      <c r="O11" s="645">
        <v>0.7</v>
      </c>
      <c r="P11" s="646">
        <v>1.2</v>
      </c>
      <c r="Q11" s="645">
        <v>50</v>
      </c>
      <c r="R11" s="646">
        <v>100</v>
      </c>
      <c r="S11" s="645">
        <v>0</v>
      </c>
      <c r="T11" s="646">
        <v>50</v>
      </c>
      <c r="U11" s="645">
        <v>75</v>
      </c>
      <c r="V11" s="646">
        <v>150</v>
      </c>
      <c r="W11" s="645">
        <v>5</v>
      </c>
      <c r="X11" s="646">
        <v>20</v>
      </c>
      <c r="Y11" s="645">
        <v>10</v>
      </c>
      <c r="Z11" s="646">
        <v>40</v>
      </c>
      <c r="AA11" s="640">
        <v>0</v>
      </c>
      <c r="AB11" s="636">
        <v>50</v>
      </c>
      <c r="AC11" s="645">
        <v>5.2</v>
      </c>
      <c r="AD11" s="646">
        <v>5.4</v>
      </c>
      <c r="AQ11" s="16"/>
    </row>
    <row r="12" spans="2:48" ht="15.75">
      <c r="B12" s="671" t="s">
        <v>2235</v>
      </c>
      <c r="C12" s="127" t="s">
        <v>2227</v>
      </c>
      <c r="D12" s="622" t="s">
        <v>2183</v>
      </c>
      <c r="E12" s="651">
        <v>1.038</v>
      </c>
      <c r="F12" s="652">
        <v>1.05</v>
      </c>
      <c r="G12" s="651">
        <v>1.004</v>
      </c>
      <c r="H12" s="652">
        <v>1.01</v>
      </c>
      <c r="I12" s="651">
        <v>4.2</v>
      </c>
      <c r="J12" s="652">
        <v>5.3</v>
      </c>
      <c r="K12" s="651">
        <v>8</v>
      </c>
      <c r="L12" s="652">
        <v>18</v>
      </c>
      <c r="M12" s="651">
        <v>4</v>
      </c>
      <c r="N12" s="652">
        <v>7</v>
      </c>
      <c r="O12" s="645">
        <v>0.4</v>
      </c>
      <c r="P12" s="646">
        <v>0.8</v>
      </c>
      <c r="Q12" s="645">
        <v>10</v>
      </c>
      <c r="R12" s="646">
        <v>30</v>
      </c>
      <c r="S12" s="645">
        <v>0</v>
      </c>
      <c r="T12" s="646">
        <v>25</v>
      </c>
      <c r="U12" s="645">
        <v>30</v>
      </c>
      <c r="V12" s="646">
        <v>60</v>
      </c>
      <c r="W12" s="645">
        <v>0</v>
      </c>
      <c r="X12" s="646">
        <v>15</v>
      </c>
      <c r="Y12" s="645">
        <v>0</v>
      </c>
      <c r="Z12" s="646">
        <v>15</v>
      </c>
      <c r="AA12" s="640">
        <v>0</v>
      </c>
      <c r="AB12" s="636">
        <v>25</v>
      </c>
      <c r="AC12" s="645">
        <v>5.2</v>
      </c>
      <c r="AD12" s="646">
        <v>5.4</v>
      </c>
      <c r="AQ12" s="16"/>
    </row>
    <row r="13" spans="2:48" ht="15.75">
      <c r="B13" s="671" t="s">
        <v>2236</v>
      </c>
      <c r="C13" s="127" t="s">
        <v>2227</v>
      </c>
      <c r="D13" s="622" t="s">
        <v>2182</v>
      </c>
      <c r="E13" s="651">
        <v>1.028</v>
      </c>
      <c r="F13" s="652">
        <v>1.04</v>
      </c>
      <c r="G13" s="651">
        <v>1</v>
      </c>
      <c r="H13" s="652">
        <v>1.008</v>
      </c>
      <c r="I13" s="651">
        <v>2.8</v>
      </c>
      <c r="J13" s="652">
        <v>4.2</v>
      </c>
      <c r="K13" s="651">
        <v>8</v>
      </c>
      <c r="L13" s="652">
        <v>12</v>
      </c>
      <c r="M13" s="651">
        <v>3.5</v>
      </c>
      <c r="N13" s="652">
        <v>6</v>
      </c>
      <c r="O13" s="645">
        <v>0.3</v>
      </c>
      <c r="P13" s="646">
        <v>0.6</v>
      </c>
      <c r="Q13" s="645">
        <v>5</v>
      </c>
      <c r="R13" s="646">
        <v>20</v>
      </c>
      <c r="S13" s="645">
        <v>0</v>
      </c>
      <c r="T13" s="646">
        <v>20</v>
      </c>
      <c r="U13" s="645">
        <v>20</v>
      </c>
      <c r="V13" s="646">
        <v>50</v>
      </c>
      <c r="W13" s="645">
        <v>0</v>
      </c>
      <c r="X13" s="646">
        <v>10</v>
      </c>
      <c r="Y13" s="645">
        <v>0</v>
      </c>
      <c r="Z13" s="646">
        <v>10</v>
      </c>
      <c r="AA13" s="640">
        <v>0</v>
      </c>
      <c r="AB13" s="636">
        <v>20</v>
      </c>
      <c r="AC13" s="645">
        <v>5.2</v>
      </c>
      <c r="AD13" s="646">
        <v>5.4</v>
      </c>
      <c r="AQ13" s="16"/>
    </row>
    <row r="14" spans="2:48" ht="15.75">
      <c r="B14" s="671" t="s">
        <v>2237</v>
      </c>
      <c r="C14" s="127" t="s">
        <v>1176</v>
      </c>
      <c r="D14" s="622" t="s">
        <v>2167</v>
      </c>
      <c r="E14" s="651">
        <v>1.0449999999999999</v>
      </c>
      <c r="F14" s="652">
        <v>1.06</v>
      </c>
      <c r="G14" s="651">
        <v>1.01</v>
      </c>
      <c r="H14" s="652">
        <v>1.0149999999999999</v>
      </c>
      <c r="I14" s="651">
        <v>4.5</v>
      </c>
      <c r="J14" s="652">
        <v>6.2</v>
      </c>
      <c r="K14" s="651">
        <v>30</v>
      </c>
      <c r="L14" s="652">
        <v>50</v>
      </c>
      <c r="M14" s="651">
        <v>10</v>
      </c>
      <c r="N14" s="652">
        <v>20</v>
      </c>
      <c r="O14" s="645">
        <v>0.8</v>
      </c>
      <c r="P14" s="646">
        <v>1.3</v>
      </c>
      <c r="Q14" s="645">
        <v>50</v>
      </c>
      <c r="R14" s="646">
        <v>100</v>
      </c>
      <c r="S14" s="645">
        <v>0</v>
      </c>
      <c r="T14" s="646">
        <v>75</v>
      </c>
      <c r="U14" s="645">
        <v>50</v>
      </c>
      <c r="V14" s="646">
        <v>100</v>
      </c>
      <c r="W14" s="645">
        <v>5</v>
      </c>
      <c r="X14" s="646">
        <v>20</v>
      </c>
      <c r="Y14" s="645">
        <v>10</v>
      </c>
      <c r="Z14" s="646">
        <v>40</v>
      </c>
      <c r="AA14" s="640">
        <v>0</v>
      </c>
      <c r="AB14" s="636">
        <v>50</v>
      </c>
      <c r="AC14" s="645">
        <v>5.2</v>
      </c>
      <c r="AD14" s="646">
        <v>5.4</v>
      </c>
      <c r="AQ14" s="16"/>
    </row>
    <row r="15" spans="2:48">
      <c r="B15" s="671" t="s">
        <v>2238</v>
      </c>
      <c r="C15" s="127" t="s">
        <v>1181</v>
      </c>
      <c r="D15" s="622" t="s">
        <v>2187</v>
      </c>
      <c r="E15" s="740">
        <v>1.05</v>
      </c>
      <c r="F15" s="741">
        <v>1.06</v>
      </c>
      <c r="G15" s="740">
        <v>1.01</v>
      </c>
      <c r="H15" s="741">
        <v>1.014</v>
      </c>
      <c r="I15" s="740">
        <v>5</v>
      </c>
      <c r="J15" s="741">
        <v>6</v>
      </c>
      <c r="K15" s="740">
        <v>25</v>
      </c>
      <c r="L15" s="741">
        <v>40</v>
      </c>
      <c r="M15" s="740">
        <v>18</v>
      </c>
      <c r="N15" s="741">
        <v>35</v>
      </c>
      <c r="O15" s="740">
        <v>0.6</v>
      </c>
      <c r="P15" s="741">
        <v>1.2</v>
      </c>
      <c r="Q15" s="740">
        <v>30</v>
      </c>
      <c r="R15" s="741">
        <v>60</v>
      </c>
      <c r="S15" s="740">
        <v>0</v>
      </c>
      <c r="T15" s="741">
        <v>50</v>
      </c>
      <c r="U15" s="740">
        <v>50</v>
      </c>
      <c r="V15" s="741">
        <v>100</v>
      </c>
      <c r="W15" s="740">
        <v>5</v>
      </c>
      <c r="X15" s="741">
        <v>25</v>
      </c>
      <c r="Y15" s="740">
        <v>10</v>
      </c>
      <c r="Z15" s="741">
        <v>30</v>
      </c>
      <c r="AA15" s="622">
        <v>0</v>
      </c>
      <c r="AB15" s="622">
        <v>50</v>
      </c>
      <c r="AC15" s="740">
        <v>5.2</v>
      </c>
      <c r="AD15" s="741">
        <v>5.4</v>
      </c>
      <c r="AQ15" s="16"/>
    </row>
    <row r="16" spans="2:48">
      <c r="B16" s="671" t="s">
        <v>2239</v>
      </c>
      <c r="C16" s="127" t="s">
        <v>1180</v>
      </c>
      <c r="D16" s="622" t="s">
        <v>2195</v>
      </c>
      <c r="E16" s="740">
        <v>1.056</v>
      </c>
      <c r="F16" s="741">
        <v>1.0680000000000001</v>
      </c>
      <c r="G16" s="740">
        <v>1.012</v>
      </c>
      <c r="H16" s="741">
        <v>1.016</v>
      </c>
      <c r="I16" s="740">
        <v>5.6</v>
      </c>
      <c r="J16" s="741">
        <v>6.8</v>
      </c>
      <c r="K16" s="740">
        <v>35</v>
      </c>
      <c r="L16" s="741">
        <v>60</v>
      </c>
      <c r="M16" s="740">
        <v>35</v>
      </c>
      <c r="N16" s="741">
        <v>70</v>
      </c>
      <c r="O16" s="740">
        <v>0.6</v>
      </c>
      <c r="P16" s="741">
        <v>1.2</v>
      </c>
      <c r="Q16" s="740">
        <v>40</v>
      </c>
      <c r="R16" s="741">
        <v>80</v>
      </c>
      <c r="S16" s="740">
        <v>0</v>
      </c>
      <c r="T16" s="741">
        <v>50</v>
      </c>
      <c r="U16" s="740">
        <v>60</v>
      </c>
      <c r="V16" s="741">
        <v>120</v>
      </c>
      <c r="W16" s="740">
        <v>5</v>
      </c>
      <c r="X16" s="741">
        <v>25</v>
      </c>
      <c r="Y16" s="740">
        <v>10</v>
      </c>
      <c r="Z16" s="741">
        <v>40</v>
      </c>
      <c r="AA16" s="622">
        <v>0</v>
      </c>
      <c r="AB16" s="622">
        <v>50</v>
      </c>
      <c r="AC16" s="740">
        <v>5.2</v>
      </c>
      <c r="AD16" s="741">
        <v>5.4</v>
      </c>
      <c r="AQ16" s="16"/>
    </row>
    <row r="17" spans="2:43">
      <c r="B17" s="671" t="s">
        <v>2240</v>
      </c>
      <c r="C17" s="127" t="s">
        <v>1179</v>
      </c>
      <c r="D17" s="622" t="s">
        <v>2200</v>
      </c>
      <c r="E17" s="740">
        <v>1.0649999999999999</v>
      </c>
      <c r="F17" s="741">
        <v>1.085</v>
      </c>
      <c r="G17" s="740">
        <v>1.014</v>
      </c>
      <c r="H17" s="741">
        <v>1.02</v>
      </c>
      <c r="I17" s="740">
        <v>7.5</v>
      </c>
      <c r="J17" s="741">
        <v>10</v>
      </c>
      <c r="K17" s="740">
        <v>50</v>
      </c>
      <c r="L17" s="741">
        <v>90</v>
      </c>
      <c r="M17" s="740">
        <v>25</v>
      </c>
      <c r="N17" s="741">
        <v>50</v>
      </c>
      <c r="O17" s="740">
        <v>0.6</v>
      </c>
      <c r="P17" s="741">
        <v>1.2</v>
      </c>
      <c r="Q17" s="740">
        <v>50</v>
      </c>
      <c r="R17" s="741">
        <v>120</v>
      </c>
      <c r="S17" s="740">
        <v>0</v>
      </c>
      <c r="T17" s="741">
        <v>50</v>
      </c>
      <c r="U17" s="740">
        <v>80</v>
      </c>
      <c r="V17" s="741">
        <v>160</v>
      </c>
      <c r="W17" s="740">
        <v>5</v>
      </c>
      <c r="X17" s="741">
        <v>30</v>
      </c>
      <c r="Y17" s="740">
        <v>10</v>
      </c>
      <c r="Z17" s="741">
        <v>50</v>
      </c>
      <c r="AA17" s="622">
        <v>0</v>
      </c>
      <c r="AB17" s="622">
        <v>60</v>
      </c>
      <c r="AC17" s="740">
        <v>5.3</v>
      </c>
      <c r="AD17" s="741">
        <v>5.5</v>
      </c>
      <c r="AQ17" s="16"/>
    </row>
    <row r="18" spans="2:43">
      <c r="B18" s="671" t="s">
        <v>2241</v>
      </c>
      <c r="C18" s="127" t="s">
        <v>1178</v>
      </c>
      <c r="D18" s="622" t="s">
        <v>2211</v>
      </c>
      <c r="E18" s="740">
        <v>1.044</v>
      </c>
      <c r="F18" s="741">
        <v>1.056</v>
      </c>
      <c r="G18" s="740">
        <v>1.008</v>
      </c>
      <c r="H18" s="741">
        <v>1.012</v>
      </c>
      <c r="I18" s="740">
        <v>4.4000000000000004</v>
      </c>
      <c r="J18" s="741">
        <v>5.6</v>
      </c>
      <c r="K18" s="740">
        <v>15</v>
      </c>
      <c r="L18" s="741">
        <v>25</v>
      </c>
      <c r="M18" s="740">
        <v>4</v>
      </c>
      <c r="N18" s="741">
        <v>8</v>
      </c>
      <c r="O18" s="740">
        <v>0.5</v>
      </c>
      <c r="P18" s="741">
        <v>1</v>
      </c>
      <c r="Q18" s="740">
        <v>20</v>
      </c>
      <c r="R18" s="741">
        <v>40</v>
      </c>
      <c r="S18" s="740">
        <v>0</v>
      </c>
      <c r="T18" s="741">
        <v>30</v>
      </c>
      <c r="U18" s="740">
        <v>40</v>
      </c>
      <c r="V18" s="741">
        <v>80</v>
      </c>
      <c r="W18" s="740">
        <v>5</v>
      </c>
      <c r="X18" s="741">
        <v>20</v>
      </c>
      <c r="Y18" s="740">
        <v>0</v>
      </c>
      <c r="Z18" s="741">
        <v>20</v>
      </c>
      <c r="AA18" s="622">
        <v>0</v>
      </c>
      <c r="AB18" s="622">
        <v>30</v>
      </c>
      <c r="AC18" s="740">
        <v>5.2</v>
      </c>
      <c r="AD18" s="741">
        <v>5.4</v>
      </c>
      <c r="AQ18" s="16"/>
    </row>
    <row r="19" spans="2:43">
      <c r="B19" s="671" t="s">
        <v>2242</v>
      </c>
      <c r="C19" s="127" t="s">
        <v>1176</v>
      </c>
      <c r="D19" s="622" t="s">
        <v>2172</v>
      </c>
      <c r="E19" s="740">
        <v>1.046</v>
      </c>
      <c r="F19" s="741">
        <v>1.056</v>
      </c>
      <c r="G19" s="740">
        <v>1.008</v>
      </c>
      <c r="H19" s="741">
        <v>1.012</v>
      </c>
      <c r="I19" s="740">
        <v>4.5999999999999996</v>
      </c>
      <c r="J19" s="741">
        <v>5.6</v>
      </c>
      <c r="K19" s="740">
        <v>20</v>
      </c>
      <c r="L19" s="741">
        <v>30</v>
      </c>
      <c r="M19" s="740">
        <v>6</v>
      </c>
      <c r="N19" s="741">
        <v>12</v>
      </c>
      <c r="O19" s="740">
        <v>0.7</v>
      </c>
      <c r="P19" s="741">
        <v>1.2</v>
      </c>
      <c r="Q19" s="740">
        <v>30</v>
      </c>
      <c r="R19" s="741">
        <v>60</v>
      </c>
      <c r="S19" s="740">
        <v>0</v>
      </c>
      <c r="T19" s="741">
        <v>40</v>
      </c>
      <c r="U19" s="740">
        <v>40</v>
      </c>
      <c r="V19" s="741">
        <v>80</v>
      </c>
      <c r="W19" s="740">
        <v>5</v>
      </c>
      <c r="X19" s="741">
        <v>20</v>
      </c>
      <c r="Y19" s="740">
        <v>0</v>
      </c>
      <c r="Z19" s="741">
        <v>30</v>
      </c>
      <c r="AA19" s="622">
        <v>0</v>
      </c>
      <c r="AB19" s="622">
        <v>40</v>
      </c>
      <c r="AC19" s="740">
        <v>5.2</v>
      </c>
      <c r="AD19" s="741">
        <v>5.4</v>
      </c>
      <c r="AQ19" s="16"/>
    </row>
    <row r="20" spans="2:43">
      <c r="B20" s="671" t="s">
        <v>2243</v>
      </c>
      <c r="C20" s="127" t="s">
        <v>1181</v>
      </c>
      <c r="D20" s="622" t="s">
        <v>2188</v>
      </c>
      <c r="E20" s="740">
        <v>1.06</v>
      </c>
      <c r="F20" s="741">
        <v>1.075</v>
      </c>
      <c r="G20" s="740">
        <v>1.014</v>
      </c>
      <c r="H20" s="741">
        <v>1.018</v>
      </c>
      <c r="I20" s="740">
        <v>6</v>
      </c>
      <c r="J20" s="741">
        <v>7.5</v>
      </c>
      <c r="K20" s="740">
        <v>25</v>
      </c>
      <c r="L20" s="741">
        <v>40</v>
      </c>
      <c r="M20" s="740">
        <v>30</v>
      </c>
      <c r="N20" s="741">
        <v>50</v>
      </c>
      <c r="O20" s="740">
        <v>0.5</v>
      </c>
      <c r="P20" s="741">
        <v>1</v>
      </c>
      <c r="Q20" s="740">
        <v>30</v>
      </c>
      <c r="R20" s="741">
        <v>60</v>
      </c>
      <c r="S20" s="740">
        <v>0</v>
      </c>
      <c r="T20" s="741">
        <v>50</v>
      </c>
      <c r="U20" s="740">
        <v>50</v>
      </c>
      <c r="V20" s="741">
        <v>120</v>
      </c>
      <c r="W20" s="740">
        <v>5</v>
      </c>
      <c r="X20" s="741">
        <v>25</v>
      </c>
      <c r="Y20" s="740">
        <v>10</v>
      </c>
      <c r="Z20" s="741">
        <v>40</v>
      </c>
      <c r="AA20" s="622">
        <v>0</v>
      </c>
      <c r="AB20" s="622">
        <v>50</v>
      </c>
      <c r="AC20" s="740">
        <v>5.3</v>
      </c>
      <c r="AD20" s="741">
        <v>5.5</v>
      </c>
      <c r="AQ20" s="16"/>
    </row>
    <row r="21" spans="2:43" ht="15.75">
      <c r="B21" s="671" t="s">
        <v>2244</v>
      </c>
      <c r="C21" s="127" t="s">
        <v>1176</v>
      </c>
      <c r="D21" s="622" t="s">
        <v>2169</v>
      </c>
      <c r="E21" s="651">
        <v>1.0620000000000001</v>
      </c>
      <c r="F21" s="652">
        <v>1.075</v>
      </c>
      <c r="G21" s="651">
        <v>1.008</v>
      </c>
      <c r="H21" s="652">
        <v>1.018</v>
      </c>
      <c r="I21" s="651">
        <v>6</v>
      </c>
      <c r="J21" s="652">
        <v>7.5</v>
      </c>
      <c r="K21" s="651">
        <v>15</v>
      </c>
      <c r="L21" s="652">
        <v>30</v>
      </c>
      <c r="M21" s="651">
        <v>7.9</v>
      </c>
      <c r="N21" s="652">
        <v>11.8</v>
      </c>
      <c r="O21" s="645">
        <v>0.7</v>
      </c>
      <c r="P21" s="646">
        <v>1.2</v>
      </c>
      <c r="Q21" s="645">
        <v>20</v>
      </c>
      <c r="R21" s="646">
        <v>50</v>
      </c>
      <c r="S21" s="645">
        <v>0</v>
      </c>
      <c r="T21" s="646">
        <v>40</v>
      </c>
      <c r="U21" s="645">
        <v>40</v>
      </c>
      <c r="V21" s="646">
        <v>80</v>
      </c>
      <c r="W21" s="645">
        <v>5</v>
      </c>
      <c r="X21" s="646">
        <v>20</v>
      </c>
      <c r="Y21" s="645">
        <v>10</v>
      </c>
      <c r="Z21" s="646">
        <v>30</v>
      </c>
      <c r="AA21" s="640">
        <v>0</v>
      </c>
      <c r="AB21" s="636">
        <v>50</v>
      </c>
      <c r="AC21" s="645">
        <v>5.3</v>
      </c>
      <c r="AD21" s="646">
        <v>5.5</v>
      </c>
      <c r="AQ21" s="16"/>
    </row>
    <row r="22" spans="2:43">
      <c r="B22" s="671" t="s">
        <v>2245</v>
      </c>
      <c r="C22" s="127" t="s">
        <v>1179</v>
      </c>
      <c r="D22" s="622" t="s">
        <v>2209</v>
      </c>
      <c r="E22" s="740">
        <v>1.08</v>
      </c>
      <c r="F22" s="741">
        <v>1.1000000000000001</v>
      </c>
      <c r="G22" s="740">
        <v>1.018</v>
      </c>
      <c r="H22" s="741">
        <v>1.022</v>
      </c>
      <c r="I22" s="740">
        <v>8</v>
      </c>
      <c r="J22" s="741">
        <v>10</v>
      </c>
      <c r="K22" s="740">
        <v>20</v>
      </c>
      <c r="L22" s="741">
        <v>40</v>
      </c>
      <c r="M22" s="740">
        <v>30</v>
      </c>
      <c r="N22" s="741">
        <v>60</v>
      </c>
      <c r="O22" s="740">
        <v>0.7</v>
      </c>
      <c r="P22" s="741">
        <v>1.2</v>
      </c>
      <c r="Q22" s="740">
        <v>40</v>
      </c>
      <c r="R22" s="741">
        <v>80</v>
      </c>
      <c r="S22" s="740">
        <v>0</v>
      </c>
      <c r="T22" s="741">
        <v>50</v>
      </c>
      <c r="U22" s="740">
        <v>60</v>
      </c>
      <c r="V22" s="741">
        <v>150</v>
      </c>
      <c r="W22" s="740">
        <v>5</v>
      </c>
      <c r="X22" s="741">
        <v>25</v>
      </c>
      <c r="Y22" s="740">
        <v>10</v>
      </c>
      <c r="Z22" s="741">
        <v>40</v>
      </c>
      <c r="AA22" s="622">
        <v>0</v>
      </c>
      <c r="AB22" s="622">
        <v>50</v>
      </c>
      <c r="AC22" s="740">
        <v>5.3</v>
      </c>
      <c r="AD22" s="741">
        <v>5.5</v>
      </c>
      <c r="AQ22" s="16"/>
    </row>
    <row r="23" spans="2:43" ht="15.75">
      <c r="B23" s="671" t="s">
        <v>2246</v>
      </c>
      <c r="C23" s="127" t="s">
        <v>1183</v>
      </c>
      <c r="D23" s="622" t="s">
        <v>2144</v>
      </c>
      <c r="E23" s="651">
        <v>1.0620000000000001</v>
      </c>
      <c r="F23" s="652">
        <v>1.075</v>
      </c>
      <c r="G23" s="651">
        <v>1.008</v>
      </c>
      <c r="H23" s="652">
        <v>1.018</v>
      </c>
      <c r="I23" s="651">
        <v>6</v>
      </c>
      <c r="J23" s="652">
        <v>7.6</v>
      </c>
      <c r="K23" s="651">
        <v>15</v>
      </c>
      <c r="L23" s="652">
        <v>25</v>
      </c>
      <c r="M23" s="651">
        <v>19.7</v>
      </c>
      <c r="N23" s="652">
        <v>33.5</v>
      </c>
      <c r="O23" s="645">
        <v>0.7</v>
      </c>
      <c r="P23" s="646">
        <v>1.1000000000000001</v>
      </c>
      <c r="Q23" s="645">
        <v>40</v>
      </c>
      <c r="R23" s="646">
        <v>80</v>
      </c>
      <c r="S23" s="645">
        <v>0</v>
      </c>
      <c r="T23" s="646">
        <v>50</v>
      </c>
      <c r="U23" s="645">
        <v>50</v>
      </c>
      <c r="V23" s="646">
        <v>100</v>
      </c>
      <c r="W23" s="645">
        <v>5</v>
      </c>
      <c r="X23" s="646">
        <v>20</v>
      </c>
      <c r="Y23" s="645">
        <v>0</v>
      </c>
      <c r="Z23" s="646">
        <v>30</v>
      </c>
      <c r="AA23" s="640">
        <v>0</v>
      </c>
      <c r="AB23" s="636">
        <v>50</v>
      </c>
      <c r="AC23" s="645">
        <v>5.4</v>
      </c>
      <c r="AD23" s="646">
        <v>5.6</v>
      </c>
      <c r="AQ23" s="16"/>
    </row>
    <row r="24" spans="2:43">
      <c r="B24" s="671" t="s">
        <v>2247</v>
      </c>
      <c r="C24" s="127" t="s">
        <v>1179</v>
      </c>
      <c r="D24" s="622" t="s">
        <v>2206</v>
      </c>
      <c r="E24" s="740">
        <v>1.07</v>
      </c>
      <c r="F24" s="741">
        <v>1.0900000000000001</v>
      </c>
      <c r="G24" s="740">
        <v>1.016</v>
      </c>
      <c r="H24" s="741">
        <v>1.02</v>
      </c>
      <c r="I24" s="740">
        <v>7</v>
      </c>
      <c r="J24" s="741">
        <v>9</v>
      </c>
      <c r="K24" s="740">
        <v>25</v>
      </c>
      <c r="L24" s="741">
        <v>45</v>
      </c>
      <c r="M24" s="740">
        <v>20</v>
      </c>
      <c r="N24" s="741">
        <v>40</v>
      </c>
      <c r="O24" s="740">
        <v>0.7</v>
      </c>
      <c r="P24" s="741">
        <v>1.2</v>
      </c>
      <c r="Q24" s="740">
        <v>40</v>
      </c>
      <c r="R24" s="741">
        <v>80</v>
      </c>
      <c r="S24" s="740">
        <v>0</v>
      </c>
      <c r="T24" s="741">
        <v>50</v>
      </c>
      <c r="U24" s="740">
        <v>60</v>
      </c>
      <c r="V24" s="741">
        <v>150</v>
      </c>
      <c r="W24" s="740">
        <v>5</v>
      </c>
      <c r="X24" s="741">
        <v>25</v>
      </c>
      <c r="Y24" s="740">
        <v>10</v>
      </c>
      <c r="Z24" s="741">
        <v>40</v>
      </c>
      <c r="AA24" s="622">
        <v>0</v>
      </c>
      <c r="AB24" s="622">
        <v>50</v>
      </c>
      <c r="AC24" s="740">
        <v>5.3</v>
      </c>
      <c r="AD24" s="741">
        <v>5.5</v>
      </c>
      <c r="AQ24" s="16"/>
    </row>
    <row r="25" spans="2:43" ht="15.75">
      <c r="B25" s="671" t="s">
        <v>2248</v>
      </c>
      <c r="C25" s="127" t="s">
        <v>1176</v>
      </c>
      <c r="D25" s="622" t="s">
        <v>2168</v>
      </c>
      <c r="E25" s="651">
        <v>1.048</v>
      </c>
      <c r="F25" s="652">
        <v>1.056</v>
      </c>
      <c r="G25" s="651">
        <v>1.01</v>
      </c>
      <c r="H25" s="652">
        <v>1.014</v>
      </c>
      <c r="I25" s="651">
        <v>4.8</v>
      </c>
      <c r="J25" s="652">
        <v>5.6</v>
      </c>
      <c r="K25" s="651">
        <v>20</v>
      </c>
      <c r="L25" s="652">
        <v>30</v>
      </c>
      <c r="M25" s="651">
        <v>15.8</v>
      </c>
      <c r="N25" s="652">
        <v>27.5</v>
      </c>
      <c r="O25" s="645">
        <v>0.7</v>
      </c>
      <c r="P25" s="646">
        <v>1.2</v>
      </c>
      <c r="Q25" s="645">
        <v>20</v>
      </c>
      <c r="R25" s="646">
        <v>50</v>
      </c>
      <c r="S25" s="645">
        <v>0</v>
      </c>
      <c r="T25" s="646">
        <v>40</v>
      </c>
      <c r="U25" s="645">
        <v>40</v>
      </c>
      <c r="V25" s="646">
        <v>80</v>
      </c>
      <c r="W25" s="645">
        <v>5</v>
      </c>
      <c r="X25" s="646">
        <v>20</v>
      </c>
      <c r="Y25" s="645">
        <v>10</v>
      </c>
      <c r="Z25" s="646">
        <v>30</v>
      </c>
      <c r="AA25" s="640">
        <v>0</v>
      </c>
      <c r="AB25" s="636">
        <v>50</v>
      </c>
      <c r="AC25" s="645">
        <v>5.3</v>
      </c>
      <c r="AD25" s="646">
        <v>5.5</v>
      </c>
      <c r="AQ25" s="16"/>
    </row>
    <row r="26" spans="2:43" ht="15.75">
      <c r="B26" s="671" t="s">
        <v>2249</v>
      </c>
      <c r="C26" s="127" t="s">
        <v>1176</v>
      </c>
      <c r="D26" s="622" t="s">
        <v>2175</v>
      </c>
      <c r="E26" s="651">
        <v>1.044</v>
      </c>
      <c r="F26" s="652">
        <v>1.054</v>
      </c>
      <c r="G26" s="651">
        <v>1.004</v>
      </c>
      <c r="H26" s="652">
        <v>1.01</v>
      </c>
      <c r="I26" s="651">
        <v>4.8</v>
      </c>
      <c r="J26" s="652">
        <v>6</v>
      </c>
      <c r="K26" s="651">
        <v>25</v>
      </c>
      <c r="L26" s="652">
        <v>45</v>
      </c>
      <c r="M26" s="651">
        <v>5.9</v>
      </c>
      <c r="N26" s="652">
        <v>9.9</v>
      </c>
      <c r="O26" s="645">
        <v>0.7</v>
      </c>
      <c r="P26" s="646">
        <v>1.2</v>
      </c>
      <c r="Q26" s="645">
        <v>20</v>
      </c>
      <c r="R26" s="646">
        <v>50</v>
      </c>
      <c r="S26" s="645">
        <v>0</v>
      </c>
      <c r="T26" s="646">
        <v>40</v>
      </c>
      <c r="U26" s="645">
        <v>40</v>
      </c>
      <c r="V26" s="646">
        <v>80</v>
      </c>
      <c r="W26" s="645">
        <v>5</v>
      </c>
      <c r="X26" s="646">
        <v>20</v>
      </c>
      <c r="Y26" s="645">
        <v>5</v>
      </c>
      <c r="Z26" s="646">
        <v>20</v>
      </c>
      <c r="AA26" s="640">
        <v>0</v>
      </c>
      <c r="AB26" s="636">
        <v>50</v>
      </c>
      <c r="AC26" s="645">
        <v>5.3</v>
      </c>
      <c r="AD26" s="646">
        <v>5.5</v>
      </c>
      <c r="AQ26" s="16"/>
    </row>
    <row r="27" spans="2:43" ht="15.75">
      <c r="B27" s="671" t="s">
        <v>2250</v>
      </c>
      <c r="C27" s="127" t="s">
        <v>1179</v>
      </c>
      <c r="D27" s="622" t="s">
        <v>2208</v>
      </c>
      <c r="E27" s="651">
        <v>1.075</v>
      </c>
      <c r="F27" s="652">
        <v>1.085</v>
      </c>
      <c r="G27" s="651">
        <v>1.008</v>
      </c>
      <c r="H27" s="652">
        <v>1.014</v>
      </c>
      <c r="I27" s="651">
        <v>7.5</v>
      </c>
      <c r="J27" s="652">
        <v>9.5</v>
      </c>
      <c r="K27" s="651">
        <v>20</v>
      </c>
      <c r="L27" s="652">
        <v>40</v>
      </c>
      <c r="M27" s="651">
        <v>8.9</v>
      </c>
      <c r="N27" s="652">
        <v>13.8</v>
      </c>
      <c r="O27" s="645">
        <v>0.7</v>
      </c>
      <c r="P27" s="646">
        <v>1.2</v>
      </c>
      <c r="Q27" s="645">
        <v>40</v>
      </c>
      <c r="R27" s="646">
        <v>80</v>
      </c>
      <c r="S27" s="645">
        <v>0</v>
      </c>
      <c r="T27" s="646">
        <v>50</v>
      </c>
      <c r="U27" s="645">
        <v>60</v>
      </c>
      <c r="V27" s="646">
        <v>150</v>
      </c>
      <c r="W27" s="645">
        <v>5</v>
      </c>
      <c r="X27" s="646">
        <v>25</v>
      </c>
      <c r="Y27" s="645">
        <v>10</v>
      </c>
      <c r="Z27" s="646">
        <v>40</v>
      </c>
      <c r="AA27" s="640">
        <v>0</v>
      </c>
      <c r="AB27" s="636">
        <v>50</v>
      </c>
      <c r="AC27" s="645">
        <v>5.3</v>
      </c>
      <c r="AD27" s="646">
        <v>5.5</v>
      </c>
      <c r="AQ27" s="16"/>
    </row>
    <row r="28" spans="2:43">
      <c r="B28" s="671" t="s">
        <v>2251</v>
      </c>
      <c r="C28" s="127" t="s">
        <v>1178</v>
      </c>
      <c r="D28" s="622" t="s">
        <v>2219</v>
      </c>
      <c r="E28" s="740">
        <v>1.03</v>
      </c>
      <c r="F28" s="741">
        <v>1.038</v>
      </c>
      <c r="G28" s="740">
        <v>1.006</v>
      </c>
      <c r="H28" s="741">
        <v>1.01</v>
      </c>
      <c r="I28" s="740">
        <v>2.8</v>
      </c>
      <c r="J28" s="741">
        <v>3.8</v>
      </c>
      <c r="K28" s="740">
        <v>3</v>
      </c>
      <c r="L28" s="741">
        <v>8</v>
      </c>
      <c r="M28" s="740">
        <v>4</v>
      </c>
      <c r="N28" s="741">
        <v>6</v>
      </c>
      <c r="O28" s="740">
        <v>0.4</v>
      </c>
      <c r="P28" s="741">
        <v>0.8</v>
      </c>
      <c r="Q28" s="740">
        <v>10</v>
      </c>
      <c r="R28" s="741">
        <v>30</v>
      </c>
      <c r="S28" s="740">
        <v>0</v>
      </c>
      <c r="T28" s="741">
        <v>20</v>
      </c>
      <c r="U28" s="740">
        <v>30</v>
      </c>
      <c r="V28" s="741">
        <v>60</v>
      </c>
      <c r="W28" s="740">
        <v>3</v>
      </c>
      <c r="X28" s="741">
        <v>10</v>
      </c>
      <c r="Y28" s="740">
        <v>0</v>
      </c>
      <c r="Z28" s="741">
        <v>10</v>
      </c>
      <c r="AA28" s="622">
        <v>0</v>
      </c>
      <c r="AB28" s="622">
        <v>20</v>
      </c>
      <c r="AC28" s="740">
        <v>3.2</v>
      </c>
      <c r="AD28" s="741">
        <v>3.6</v>
      </c>
      <c r="AQ28" s="16"/>
    </row>
    <row r="29" spans="2:43">
      <c r="B29" s="671" t="s">
        <v>2252</v>
      </c>
      <c r="C29" s="127" t="s">
        <v>1183</v>
      </c>
      <c r="D29" s="622" t="s">
        <v>2136</v>
      </c>
      <c r="E29" s="740">
        <v>1.044</v>
      </c>
      <c r="F29" s="741">
        <v>1.048</v>
      </c>
      <c r="G29" s="740">
        <v>1.008</v>
      </c>
      <c r="H29" s="741">
        <v>1.012</v>
      </c>
      <c r="I29" s="740">
        <v>4.4000000000000004</v>
      </c>
      <c r="J29" s="741">
        <v>4.8</v>
      </c>
      <c r="K29" s="740">
        <v>30</v>
      </c>
      <c r="L29" s="741">
        <v>45</v>
      </c>
      <c r="M29" s="740">
        <v>14</v>
      </c>
      <c r="N29" s="741">
        <v>22</v>
      </c>
      <c r="O29" s="740">
        <v>0.5</v>
      </c>
      <c r="P29" s="741">
        <v>1</v>
      </c>
      <c r="Q29" s="740">
        <v>20</v>
      </c>
      <c r="R29" s="741">
        <v>50</v>
      </c>
      <c r="S29" s="740">
        <v>0</v>
      </c>
      <c r="T29" s="741">
        <v>50</v>
      </c>
      <c r="U29" s="740">
        <v>50</v>
      </c>
      <c r="V29" s="741">
        <v>100</v>
      </c>
      <c r="W29" s="740">
        <v>5</v>
      </c>
      <c r="X29" s="741">
        <v>25</v>
      </c>
      <c r="Y29" s="740">
        <v>5</v>
      </c>
      <c r="Z29" s="741">
        <v>25</v>
      </c>
      <c r="AA29" s="622">
        <v>0</v>
      </c>
      <c r="AB29" s="622">
        <v>50</v>
      </c>
      <c r="AC29" s="740">
        <v>5.2</v>
      </c>
      <c r="AD29" s="741">
        <v>5.4</v>
      </c>
      <c r="AQ29" s="16"/>
    </row>
    <row r="30" spans="2:43">
      <c r="B30" s="671" t="s">
        <v>2253</v>
      </c>
      <c r="C30" s="127" t="s">
        <v>1183</v>
      </c>
      <c r="D30" s="622" t="s">
        <v>2142</v>
      </c>
      <c r="E30" s="740">
        <v>1.05</v>
      </c>
      <c r="F30" s="741">
        <v>1.06</v>
      </c>
      <c r="G30" s="740">
        <v>1.01</v>
      </c>
      <c r="H30" s="741">
        <v>1.014</v>
      </c>
      <c r="I30" s="740">
        <v>5</v>
      </c>
      <c r="J30" s="741">
        <v>6</v>
      </c>
      <c r="K30" s="740">
        <v>20</v>
      </c>
      <c r="L30" s="741">
        <v>35</v>
      </c>
      <c r="M30" s="740">
        <v>10</v>
      </c>
      <c r="N30" s="741">
        <v>20</v>
      </c>
      <c r="O30" s="740">
        <v>0.7</v>
      </c>
      <c r="P30" s="741">
        <v>1.2</v>
      </c>
      <c r="Q30" s="740">
        <v>30</v>
      </c>
      <c r="R30" s="741">
        <v>60</v>
      </c>
      <c r="S30" s="740">
        <v>0</v>
      </c>
      <c r="T30" s="741">
        <v>50</v>
      </c>
      <c r="U30" s="740">
        <v>50</v>
      </c>
      <c r="V30" s="741">
        <v>100</v>
      </c>
      <c r="W30" s="740">
        <v>5</v>
      </c>
      <c r="X30" s="741">
        <v>20</v>
      </c>
      <c r="Y30" s="740">
        <v>10</v>
      </c>
      <c r="Z30" s="741">
        <v>30</v>
      </c>
      <c r="AA30" s="622">
        <v>0</v>
      </c>
      <c r="AB30" s="622">
        <v>50</v>
      </c>
      <c r="AC30" s="740">
        <v>5.2</v>
      </c>
      <c r="AD30" s="741">
        <v>5.4</v>
      </c>
      <c r="AQ30" s="16"/>
    </row>
    <row r="31" spans="2:43" ht="15.75">
      <c r="B31" s="671" t="s">
        <v>2254</v>
      </c>
      <c r="C31" s="127" t="s">
        <v>1176</v>
      </c>
      <c r="D31" s="622" t="s">
        <v>2176</v>
      </c>
      <c r="E31" s="651">
        <v>1.038</v>
      </c>
      <c r="F31" s="652">
        <v>1.054</v>
      </c>
      <c r="G31" s="651">
        <v>1.008</v>
      </c>
      <c r="H31" s="652">
        <v>1.0129999999999999</v>
      </c>
      <c r="I31" s="651">
        <v>3.8</v>
      </c>
      <c r="J31" s="652">
        <v>5.5</v>
      </c>
      <c r="K31" s="651">
        <v>15</v>
      </c>
      <c r="L31" s="652">
        <v>28</v>
      </c>
      <c r="M31" s="651">
        <v>6</v>
      </c>
      <c r="N31" s="652">
        <v>12</v>
      </c>
      <c r="O31" s="645">
        <v>0.7</v>
      </c>
      <c r="P31" s="646">
        <v>1.2</v>
      </c>
      <c r="Q31" s="645">
        <v>30</v>
      </c>
      <c r="R31" s="646">
        <v>60</v>
      </c>
      <c r="S31" s="645">
        <v>0</v>
      </c>
      <c r="T31" s="646">
        <v>40</v>
      </c>
      <c r="U31" s="645">
        <v>50</v>
      </c>
      <c r="V31" s="646">
        <v>100</v>
      </c>
      <c r="W31" s="645">
        <v>5</v>
      </c>
      <c r="X31" s="646">
        <v>20</v>
      </c>
      <c r="Y31" s="645">
        <v>10</v>
      </c>
      <c r="Z31" s="646">
        <v>40</v>
      </c>
      <c r="AA31" s="640">
        <v>0</v>
      </c>
      <c r="AB31" s="636">
        <v>75</v>
      </c>
      <c r="AC31" s="645">
        <v>5.2</v>
      </c>
      <c r="AD31" s="646">
        <v>5.4</v>
      </c>
      <c r="AQ31" s="16"/>
    </row>
    <row r="32" spans="2:43">
      <c r="B32" s="671" t="s">
        <v>2255</v>
      </c>
      <c r="C32" s="127" t="s">
        <v>1182</v>
      </c>
      <c r="D32" s="622" t="s">
        <v>2157</v>
      </c>
      <c r="E32" s="740">
        <v>1.048</v>
      </c>
      <c r="F32" s="741">
        <v>1.056</v>
      </c>
      <c r="G32" s="740">
        <v>1.01</v>
      </c>
      <c r="H32" s="741">
        <v>1.014</v>
      </c>
      <c r="I32" s="740">
        <v>4.8</v>
      </c>
      <c r="J32" s="741">
        <v>5.6</v>
      </c>
      <c r="K32" s="740">
        <v>20</v>
      </c>
      <c r="L32" s="741">
        <v>35</v>
      </c>
      <c r="M32" s="740">
        <v>20</v>
      </c>
      <c r="N32" s="741">
        <v>40</v>
      </c>
      <c r="O32" s="740">
        <v>0.6</v>
      </c>
      <c r="P32" s="741">
        <v>1.2</v>
      </c>
      <c r="Q32" s="740">
        <v>30</v>
      </c>
      <c r="R32" s="741">
        <v>60</v>
      </c>
      <c r="S32" s="740">
        <v>0</v>
      </c>
      <c r="T32" s="741">
        <v>50</v>
      </c>
      <c r="U32" s="740">
        <v>50</v>
      </c>
      <c r="V32" s="741">
        <v>100</v>
      </c>
      <c r="W32" s="740">
        <v>5</v>
      </c>
      <c r="X32" s="741">
        <v>25</v>
      </c>
      <c r="Y32" s="740">
        <v>10</v>
      </c>
      <c r="Z32" s="741">
        <v>30</v>
      </c>
      <c r="AA32" s="622">
        <v>0</v>
      </c>
      <c r="AB32" s="622">
        <v>50</v>
      </c>
      <c r="AC32" s="740">
        <v>5.2</v>
      </c>
      <c r="AD32" s="741">
        <v>5.4</v>
      </c>
      <c r="AQ32" s="16"/>
    </row>
    <row r="33" spans="2:43">
      <c r="B33" s="671" t="s">
        <v>2256</v>
      </c>
      <c r="C33" s="127" t="s">
        <v>1176</v>
      </c>
      <c r="D33" s="622" t="s">
        <v>2171</v>
      </c>
      <c r="E33" s="740">
        <v>1.046</v>
      </c>
      <c r="F33" s="741">
        <v>1.056</v>
      </c>
      <c r="G33" s="740">
        <v>1.008</v>
      </c>
      <c r="H33" s="741">
        <v>1.012</v>
      </c>
      <c r="I33" s="740">
        <v>4.5999999999999996</v>
      </c>
      <c r="J33" s="741">
        <v>5.6</v>
      </c>
      <c r="K33" s="740">
        <v>20</v>
      </c>
      <c r="L33" s="741">
        <v>30</v>
      </c>
      <c r="M33" s="740">
        <v>6</v>
      </c>
      <c r="N33" s="741">
        <v>12</v>
      </c>
      <c r="O33" s="740">
        <v>0.7</v>
      </c>
      <c r="P33" s="741">
        <v>1.2</v>
      </c>
      <c r="Q33" s="740">
        <v>30</v>
      </c>
      <c r="R33" s="741">
        <v>60</v>
      </c>
      <c r="S33" s="740">
        <v>0</v>
      </c>
      <c r="T33" s="741">
        <v>40</v>
      </c>
      <c r="U33" s="740">
        <v>40</v>
      </c>
      <c r="V33" s="741">
        <v>80</v>
      </c>
      <c r="W33" s="740">
        <v>5</v>
      </c>
      <c r="X33" s="741">
        <v>20</v>
      </c>
      <c r="Y33" s="740">
        <v>0</v>
      </c>
      <c r="Z33" s="741">
        <v>30</v>
      </c>
      <c r="AA33" s="622">
        <v>0</v>
      </c>
      <c r="AB33" s="622">
        <v>40</v>
      </c>
      <c r="AC33" s="740">
        <v>5.2</v>
      </c>
      <c r="AD33" s="741">
        <v>5.4</v>
      </c>
      <c r="AQ33" s="16"/>
    </row>
    <row r="34" spans="2:43">
      <c r="B34" s="671" t="s">
        <v>2257</v>
      </c>
      <c r="C34" s="127" t="s">
        <v>1179</v>
      </c>
      <c r="D34" s="622" t="s">
        <v>2204</v>
      </c>
      <c r="E34" s="740">
        <v>1.06</v>
      </c>
      <c r="F34" s="741">
        <v>1.075</v>
      </c>
      <c r="G34" s="740">
        <v>1.014</v>
      </c>
      <c r="H34" s="741">
        <v>1.018</v>
      </c>
      <c r="I34" s="740">
        <v>6</v>
      </c>
      <c r="J34" s="741">
        <v>7.5</v>
      </c>
      <c r="K34" s="740">
        <v>25</v>
      </c>
      <c r="L34" s="741">
        <v>40</v>
      </c>
      <c r="M34" s="740">
        <v>20</v>
      </c>
      <c r="N34" s="741">
        <v>40</v>
      </c>
      <c r="O34" s="740">
        <v>0.6</v>
      </c>
      <c r="P34" s="741">
        <v>1.2</v>
      </c>
      <c r="Q34" s="740">
        <v>40</v>
      </c>
      <c r="R34" s="741">
        <v>80</v>
      </c>
      <c r="S34" s="740">
        <v>0</v>
      </c>
      <c r="T34" s="741">
        <v>50</v>
      </c>
      <c r="U34" s="740">
        <v>50</v>
      </c>
      <c r="V34" s="741">
        <v>120</v>
      </c>
      <c r="W34" s="740">
        <v>5</v>
      </c>
      <c r="X34" s="741">
        <v>25</v>
      </c>
      <c r="Y34" s="740">
        <v>10</v>
      </c>
      <c r="Z34" s="741">
        <v>40</v>
      </c>
      <c r="AA34" s="622">
        <v>0</v>
      </c>
      <c r="AB34" s="622">
        <v>50</v>
      </c>
      <c r="AC34" s="740">
        <v>5.2</v>
      </c>
      <c r="AD34" s="741">
        <v>5.4</v>
      </c>
      <c r="AQ34" s="16"/>
    </row>
    <row r="35" spans="2:43">
      <c r="B35" s="671" t="s">
        <v>2258</v>
      </c>
      <c r="C35" s="127" t="s">
        <v>1173</v>
      </c>
      <c r="D35" s="622" t="s">
        <v>2146</v>
      </c>
      <c r="E35" s="740">
        <v>1.05</v>
      </c>
      <c r="F35" s="741">
        <v>1.06</v>
      </c>
      <c r="G35" s="740">
        <v>1.01</v>
      </c>
      <c r="H35" s="741">
        <v>1.014</v>
      </c>
      <c r="I35" s="740">
        <v>4.8</v>
      </c>
      <c r="J35" s="741">
        <v>5.8</v>
      </c>
      <c r="K35" s="740">
        <v>25</v>
      </c>
      <c r="L35" s="741">
        <v>40</v>
      </c>
      <c r="M35" s="740">
        <v>12</v>
      </c>
      <c r="N35" s="741">
        <v>25</v>
      </c>
      <c r="O35" s="740">
        <v>0.6</v>
      </c>
      <c r="P35" s="741">
        <v>1.2</v>
      </c>
      <c r="Q35" s="740">
        <v>30</v>
      </c>
      <c r="R35" s="741">
        <v>60</v>
      </c>
      <c r="S35" s="740">
        <v>0</v>
      </c>
      <c r="T35" s="741">
        <v>50</v>
      </c>
      <c r="U35" s="740">
        <v>50</v>
      </c>
      <c r="V35" s="741">
        <v>100</v>
      </c>
      <c r="W35" s="740">
        <v>5</v>
      </c>
      <c r="X35" s="741">
        <v>20</v>
      </c>
      <c r="Y35" s="740">
        <v>10</v>
      </c>
      <c r="Z35" s="741">
        <v>30</v>
      </c>
      <c r="AA35" s="622">
        <v>0</v>
      </c>
      <c r="AB35" s="622">
        <v>50</v>
      </c>
      <c r="AC35" s="740">
        <v>5.2</v>
      </c>
      <c r="AD35" s="741">
        <v>5.4</v>
      </c>
      <c r="AQ35" s="16"/>
    </row>
    <row r="36" spans="2:43">
      <c r="B36" s="671" t="s">
        <v>2259</v>
      </c>
      <c r="C36" s="127" t="s">
        <v>1176</v>
      </c>
      <c r="D36" s="622" t="s">
        <v>2174</v>
      </c>
      <c r="E36" s="740">
        <v>1.044</v>
      </c>
      <c r="F36" s="741">
        <v>1.056</v>
      </c>
      <c r="G36" s="740">
        <v>1.008</v>
      </c>
      <c r="H36" s="741">
        <v>1.012</v>
      </c>
      <c r="I36" s="740">
        <v>4.4000000000000004</v>
      </c>
      <c r="J36" s="741">
        <v>5.6</v>
      </c>
      <c r="K36" s="740">
        <v>15</v>
      </c>
      <c r="L36" s="741">
        <v>22</v>
      </c>
      <c r="M36" s="740">
        <v>4</v>
      </c>
      <c r="N36" s="741">
        <v>6</v>
      </c>
      <c r="O36" s="740">
        <v>0.5</v>
      </c>
      <c r="P36" s="741">
        <v>0.9</v>
      </c>
      <c r="Q36" s="740">
        <v>20</v>
      </c>
      <c r="R36" s="741">
        <v>40</v>
      </c>
      <c r="S36" s="740">
        <v>0</v>
      </c>
      <c r="T36" s="741">
        <v>30</v>
      </c>
      <c r="U36" s="740">
        <v>40</v>
      </c>
      <c r="V36" s="741">
        <v>80</v>
      </c>
      <c r="W36" s="740">
        <v>5</v>
      </c>
      <c r="X36" s="741">
        <v>20</v>
      </c>
      <c r="Y36" s="740">
        <v>0</v>
      </c>
      <c r="Z36" s="741">
        <v>20</v>
      </c>
      <c r="AA36" s="622">
        <v>0</v>
      </c>
      <c r="AB36" s="622">
        <v>50</v>
      </c>
      <c r="AC36" s="740">
        <v>5.2</v>
      </c>
      <c r="AD36" s="741">
        <v>5.4</v>
      </c>
      <c r="AQ36" s="16"/>
    </row>
    <row r="37" spans="2:43">
      <c r="B37" s="671" t="s">
        <v>2260</v>
      </c>
      <c r="C37" s="127" t="s">
        <v>1173</v>
      </c>
      <c r="D37" s="622" t="s">
        <v>2147</v>
      </c>
      <c r="E37" s="740">
        <v>1.052</v>
      </c>
      <c r="F37" s="741">
        <v>1.0620000000000001</v>
      </c>
      <c r="G37" s="740">
        <v>1.01</v>
      </c>
      <c r="H37" s="741">
        <v>1.014</v>
      </c>
      <c r="I37" s="740">
        <v>5</v>
      </c>
      <c r="J37" s="741">
        <v>6</v>
      </c>
      <c r="K37" s="740">
        <v>25</v>
      </c>
      <c r="L37" s="741">
        <v>40</v>
      </c>
      <c r="M37" s="740">
        <v>12</v>
      </c>
      <c r="N37" s="741">
        <v>25</v>
      </c>
      <c r="O37" s="740">
        <v>0.7</v>
      </c>
      <c r="P37" s="741">
        <v>1.3</v>
      </c>
      <c r="Q37" s="740">
        <v>30</v>
      </c>
      <c r="R37" s="741">
        <v>60</v>
      </c>
      <c r="S37" s="740">
        <v>0</v>
      </c>
      <c r="T37" s="741">
        <v>50</v>
      </c>
      <c r="U37" s="740">
        <v>50</v>
      </c>
      <c r="V37" s="741">
        <v>100</v>
      </c>
      <c r="W37" s="740">
        <v>5</v>
      </c>
      <c r="X37" s="741">
        <v>25</v>
      </c>
      <c r="Y37" s="740">
        <v>10</v>
      </c>
      <c r="Z37" s="741">
        <v>30</v>
      </c>
      <c r="AA37" s="622">
        <v>0</v>
      </c>
      <c r="AB37" s="622">
        <v>50</v>
      </c>
      <c r="AC37" s="740">
        <v>5.2</v>
      </c>
      <c r="AD37" s="741">
        <v>5.4</v>
      </c>
      <c r="AQ37" s="16"/>
    </row>
    <row r="38" spans="2:43">
      <c r="B38" s="671" t="s">
        <v>2261</v>
      </c>
      <c r="C38" s="127" t="s">
        <v>1174</v>
      </c>
      <c r="D38" s="622" t="s">
        <v>2159</v>
      </c>
      <c r="E38" s="740">
        <v>1.052</v>
      </c>
      <c r="F38" s="741">
        <v>1.0620000000000001</v>
      </c>
      <c r="G38" s="740">
        <v>1.01</v>
      </c>
      <c r="H38" s="741">
        <v>1.014</v>
      </c>
      <c r="I38" s="740">
        <v>5</v>
      </c>
      <c r="J38" s="741">
        <v>6</v>
      </c>
      <c r="K38" s="740">
        <v>25</v>
      </c>
      <c r="L38" s="741">
        <v>40</v>
      </c>
      <c r="M38" s="740">
        <v>20</v>
      </c>
      <c r="N38" s="741">
        <v>30</v>
      </c>
      <c r="O38" s="740">
        <v>0.7</v>
      </c>
      <c r="P38" s="741">
        <v>1.3</v>
      </c>
      <c r="Q38" s="740">
        <v>30</v>
      </c>
      <c r="R38" s="741">
        <v>60</v>
      </c>
      <c r="S38" s="740">
        <v>0</v>
      </c>
      <c r="T38" s="741">
        <v>50</v>
      </c>
      <c r="U38" s="740">
        <v>50</v>
      </c>
      <c r="V38" s="741">
        <v>100</v>
      </c>
      <c r="W38" s="740">
        <v>5</v>
      </c>
      <c r="X38" s="741">
        <v>25</v>
      </c>
      <c r="Y38" s="740">
        <v>10</v>
      </c>
      <c r="Z38" s="741">
        <v>30</v>
      </c>
      <c r="AA38" s="622">
        <v>0</v>
      </c>
      <c r="AB38" s="622">
        <v>50</v>
      </c>
      <c r="AC38" s="740">
        <v>5.2</v>
      </c>
      <c r="AD38" s="741">
        <v>5.4</v>
      </c>
      <c r="AQ38" s="16"/>
    </row>
    <row r="39" spans="2:43">
      <c r="B39" s="671" t="s">
        <v>2262</v>
      </c>
      <c r="C39" s="127" t="s">
        <v>2227</v>
      </c>
      <c r="D39" s="622" t="s">
        <v>2177</v>
      </c>
      <c r="E39" s="740">
        <v>1.046</v>
      </c>
      <c r="F39" s="741">
        <v>1.056</v>
      </c>
      <c r="G39" s="740">
        <v>1.008</v>
      </c>
      <c r="H39" s="741">
        <v>1.012</v>
      </c>
      <c r="I39" s="740">
        <v>4.5999999999999996</v>
      </c>
      <c r="J39" s="741">
        <v>5.6</v>
      </c>
      <c r="K39" s="740">
        <v>20</v>
      </c>
      <c r="L39" s="741">
        <v>35</v>
      </c>
      <c r="M39" s="740">
        <v>6</v>
      </c>
      <c r="N39" s="741">
        <v>12</v>
      </c>
      <c r="O39" s="740">
        <v>0.5</v>
      </c>
      <c r="P39" s="741">
        <v>1</v>
      </c>
      <c r="Q39" s="740">
        <v>20</v>
      </c>
      <c r="R39" s="741">
        <v>40</v>
      </c>
      <c r="S39" s="740">
        <v>0</v>
      </c>
      <c r="T39" s="741">
        <v>40</v>
      </c>
      <c r="U39" s="740">
        <v>40</v>
      </c>
      <c r="V39" s="741">
        <v>80</v>
      </c>
      <c r="W39" s="740">
        <v>5</v>
      </c>
      <c r="X39" s="741">
        <v>20</v>
      </c>
      <c r="Y39" s="740">
        <v>5</v>
      </c>
      <c r="Z39" s="741">
        <v>20</v>
      </c>
      <c r="AA39" s="622">
        <v>0</v>
      </c>
      <c r="AB39" s="622">
        <v>40</v>
      </c>
      <c r="AC39" s="740">
        <v>5.3</v>
      </c>
      <c r="AD39" s="741">
        <v>5.5</v>
      </c>
      <c r="AQ39" s="16"/>
    </row>
    <row r="40" spans="2:43">
      <c r="B40" s="671" t="s">
        <v>2263</v>
      </c>
      <c r="C40" s="127" t="s">
        <v>1172</v>
      </c>
      <c r="D40" s="622" t="s">
        <v>2186</v>
      </c>
      <c r="E40" s="740">
        <v>1.05</v>
      </c>
      <c r="F40" s="741">
        <v>1.06</v>
      </c>
      <c r="G40" s="740">
        <v>1.01</v>
      </c>
      <c r="H40" s="741">
        <v>1.014</v>
      </c>
      <c r="I40" s="740">
        <v>5</v>
      </c>
      <c r="J40" s="741">
        <v>5.8</v>
      </c>
      <c r="K40" s="740">
        <v>25</v>
      </c>
      <c r="L40" s="741">
        <v>40</v>
      </c>
      <c r="M40" s="740">
        <v>8</v>
      </c>
      <c r="N40" s="741">
        <v>15</v>
      </c>
      <c r="O40" s="740">
        <v>0.7</v>
      </c>
      <c r="P40" s="741">
        <v>1.2</v>
      </c>
      <c r="Q40" s="740">
        <v>30</v>
      </c>
      <c r="R40" s="741">
        <v>60</v>
      </c>
      <c r="S40" s="740">
        <v>0</v>
      </c>
      <c r="T40" s="741">
        <v>50</v>
      </c>
      <c r="U40" s="740">
        <v>50</v>
      </c>
      <c r="V40" s="741">
        <v>100</v>
      </c>
      <c r="W40" s="740">
        <v>5</v>
      </c>
      <c r="X40" s="741">
        <v>25</v>
      </c>
      <c r="Y40" s="740">
        <v>10</v>
      </c>
      <c r="Z40" s="741">
        <v>30</v>
      </c>
      <c r="AA40" s="622">
        <v>0</v>
      </c>
      <c r="AB40" s="622">
        <v>50</v>
      </c>
      <c r="AC40" s="740">
        <v>5.2</v>
      </c>
      <c r="AD40" s="741">
        <v>5.4</v>
      </c>
      <c r="AQ40" s="16"/>
    </row>
    <row r="41" spans="2:43">
      <c r="B41" s="671" t="s">
        <v>2264</v>
      </c>
      <c r="C41" s="127" t="s">
        <v>1182</v>
      </c>
      <c r="D41" s="622" t="s">
        <v>2158</v>
      </c>
      <c r="E41" s="740">
        <v>1.036</v>
      </c>
      <c r="F41" s="741">
        <v>1.044</v>
      </c>
      <c r="G41" s="740">
        <v>1.008</v>
      </c>
      <c r="H41" s="741">
        <v>1.012</v>
      </c>
      <c r="I41" s="740">
        <v>3.6</v>
      </c>
      <c r="J41" s="741">
        <v>4.4000000000000004</v>
      </c>
      <c r="K41" s="740">
        <v>10</v>
      </c>
      <c r="L41" s="741">
        <v>20</v>
      </c>
      <c r="M41" s="740">
        <v>12</v>
      </c>
      <c r="N41" s="741">
        <v>25</v>
      </c>
      <c r="O41" s="740">
        <v>0.5</v>
      </c>
      <c r="P41" s="741">
        <v>1</v>
      </c>
      <c r="Q41" s="740">
        <v>20</v>
      </c>
      <c r="R41" s="741">
        <v>50</v>
      </c>
      <c r="S41" s="740">
        <v>0</v>
      </c>
      <c r="T41" s="741">
        <v>50</v>
      </c>
      <c r="U41" s="740">
        <v>40</v>
      </c>
      <c r="V41" s="741">
        <v>80</v>
      </c>
      <c r="W41" s="740">
        <v>5</v>
      </c>
      <c r="X41" s="741">
        <v>20</v>
      </c>
      <c r="Y41" s="740">
        <v>0</v>
      </c>
      <c r="Z41" s="741">
        <v>20</v>
      </c>
      <c r="AA41" s="622">
        <v>0</v>
      </c>
      <c r="AB41" s="622">
        <v>50</v>
      </c>
      <c r="AC41" s="740">
        <v>5.2</v>
      </c>
      <c r="AD41" s="741">
        <v>5.4</v>
      </c>
      <c r="AQ41" s="16"/>
    </row>
    <row r="42" spans="2:43">
      <c r="B42" s="671" t="s">
        <v>2265</v>
      </c>
      <c r="C42" s="127" t="s">
        <v>1175</v>
      </c>
      <c r="D42" s="622" t="s">
        <v>2155</v>
      </c>
      <c r="E42" s="740">
        <v>1.0720000000000001</v>
      </c>
      <c r="F42" s="741">
        <v>1.085</v>
      </c>
      <c r="G42" s="740">
        <v>1.014</v>
      </c>
      <c r="H42" s="741">
        <v>1.018</v>
      </c>
      <c r="I42" s="740">
        <v>7.5</v>
      </c>
      <c r="J42" s="741">
        <v>8.5</v>
      </c>
      <c r="K42" s="740">
        <v>20</v>
      </c>
      <c r="L42" s="741">
        <v>30</v>
      </c>
      <c r="M42" s="740">
        <v>25</v>
      </c>
      <c r="N42" s="741">
        <v>40</v>
      </c>
      <c r="O42" s="740">
        <v>0.5</v>
      </c>
      <c r="P42" s="741">
        <v>1</v>
      </c>
      <c r="Q42" s="740">
        <v>30</v>
      </c>
      <c r="R42" s="741">
        <v>60</v>
      </c>
      <c r="S42" s="740">
        <v>0</v>
      </c>
      <c r="T42" s="741">
        <v>50</v>
      </c>
      <c r="U42" s="740">
        <v>50</v>
      </c>
      <c r="V42" s="741">
        <v>120</v>
      </c>
      <c r="W42" s="740">
        <v>5</v>
      </c>
      <c r="X42" s="741">
        <v>25</v>
      </c>
      <c r="Y42" s="740">
        <v>10</v>
      </c>
      <c r="Z42" s="741">
        <v>35</v>
      </c>
      <c r="AA42" s="622">
        <v>0</v>
      </c>
      <c r="AB42" s="622">
        <v>60</v>
      </c>
      <c r="AC42" s="740">
        <v>5.3</v>
      </c>
      <c r="AD42" s="741">
        <v>5.5</v>
      </c>
      <c r="AQ42" s="16"/>
    </row>
    <row r="43" spans="2:43" ht="15.75">
      <c r="B43" s="671" t="s">
        <v>2266</v>
      </c>
      <c r="C43" s="19" t="s">
        <v>1155</v>
      </c>
      <c r="D43" s="622" t="s">
        <v>2163</v>
      </c>
      <c r="E43" s="651">
        <v>1.0649999999999999</v>
      </c>
      <c r="F43" s="652">
        <v>1.085</v>
      </c>
      <c r="G43" s="651">
        <v>1.008</v>
      </c>
      <c r="H43" s="652">
        <v>1.018</v>
      </c>
      <c r="I43" s="651">
        <v>7.5</v>
      </c>
      <c r="J43" s="652">
        <v>10</v>
      </c>
      <c r="K43" s="651">
        <v>60</v>
      </c>
      <c r="L43" s="652">
        <v>100</v>
      </c>
      <c r="M43" s="651">
        <v>11.8</v>
      </c>
      <c r="N43" s="652">
        <v>27.5</v>
      </c>
      <c r="O43" s="645">
        <v>0.6</v>
      </c>
      <c r="P43" s="646">
        <v>1</v>
      </c>
      <c r="Q43" s="645">
        <v>50</v>
      </c>
      <c r="R43" s="646">
        <v>100</v>
      </c>
      <c r="S43" s="645">
        <v>0</v>
      </c>
      <c r="T43" s="646">
        <v>50</v>
      </c>
      <c r="U43" s="645">
        <v>100</v>
      </c>
      <c r="V43" s="646">
        <v>200</v>
      </c>
      <c r="W43" s="645">
        <v>5</v>
      </c>
      <c r="X43" s="646">
        <v>25</v>
      </c>
      <c r="Y43" s="645">
        <v>10</v>
      </c>
      <c r="Z43" s="646">
        <v>40</v>
      </c>
      <c r="AA43" s="640">
        <v>0</v>
      </c>
      <c r="AB43" s="636">
        <v>50</v>
      </c>
      <c r="AC43" s="645">
        <v>5.2</v>
      </c>
      <c r="AD43" s="646">
        <v>5.4</v>
      </c>
      <c r="AQ43" s="16"/>
    </row>
    <row r="44" spans="2:43">
      <c r="B44" s="671" t="s">
        <v>2267</v>
      </c>
      <c r="C44" s="127" t="s">
        <v>1175</v>
      </c>
      <c r="D44" s="622" t="s">
        <v>2152</v>
      </c>
      <c r="E44" s="740">
        <v>1.06</v>
      </c>
      <c r="F44" s="741">
        <v>1.0720000000000001</v>
      </c>
      <c r="G44" s="740">
        <v>1.012</v>
      </c>
      <c r="H44" s="741">
        <v>1.016</v>
      </c>
      <c r="I44" s="740">
        <v>6</v>
      </c>
      <c r="J44" s="741">
        <v>7.5</v>
      </c>
      <c r="K44" s="740">
        <v>25</v>
      </c>
      <c r="L44" s="741">
        <v>35</v>
      </c>
      <c r="M44" s="740">
        <v>25</v>
      </c>
      <c r="N44" s="741">
        <v>50</v>
      </c>
      <c r="O44" s="740">
        <v>0.6</v>
      </c>
      <c r="P44" s="741">
        <v>1.2</v>
      </c>
      <c r="Q44" s="740">
        <v>30</v>
      </c>
      <c r="R44" s="741">
        <v>60</v>
      </c>
      <c r="S44" s="740">
        <v>0</v>
      </c>
      <c r="T44" s="741">
        <v>50</v>
      </c>
      <c r="U44" s="740">
        <v>50</v>
      </c>
      <c r="V44" s="741">
        <v>120</v>
      </c>
      <c r="W44" s="740">
        <v>5</v>
      </c>
      <c r="X44" s="741">
        <v>25</v>
      </c>
      <c r="Y44" s="740">
        <v>10</v>
      </c>
      <c r="Z44" s="741">
        <v>35</v>
      </c>
      <c r="AA44" s="622">
        <v>0</v>
      </c>
      <c r="AB44" s="622">
        <v>50</v>
      </c>
      <c r="AC44" s="740">
        <v>5.2</v>
      </c>
      <c r="AD44" s="741">
        <v>5.4</v>
      </c>
      <c r="AQ44" s="16"/>
    </row>
    <row r="45" spans="2:43">
      <c r="B45" s="671" t="s">
        <v>2268</v>
      </c>
      <c r="C45" s="127" t="s">
        <v>1178</v>
      </c>
      <c r="D45" s="622" t="s">
        <v>2212</v>
      </c>
      <c r="E45" s="740">
        <v>1.05</v>
      </c>
      <c r="F45" s="741">
        <v>1.0580000000000001</v>
      </c>
      <c r="G45" s="740">
        <v>1.01</v>
      </c>
      <c r="H45" s="741">
        <v>1.014</v>
      </c>
      <c r="I45" s="740">
        <v>5</v>
      </c>
      <c r="J45" s="741">
        <v>5.8</v>
      </c>
      <c r="K45" s="740">
        <v>15</v>
      </c>
      <c r="L45" s="741">
        <v>25</v>
      </c>
      <c r="M45" s="740">
        <v>12</v>
      </c>
      <c r="N45" s="741">
        <v>25</v>
      </c>
      <c r="O45" s="740">
        <v>0.5</v>
      </c>
      <c r="P45" s="741">
        <v>1</v>
      </c>
      <c r="Q45" s="740">
        <v>25</v>
      </c>
      <c r="R45" s="741">
        <v>50</v>
      </c>
      <c r="S45" s="740">
        <v>0</v>
      </c>
      <c r="T45" s="741">
        <v>40</v>
      </c>
      <c r="U45" s="740">
        <v>50</v>
      </c>
      <c r="V45" s="741">
        <v>120</v>
      </c>
      <c r="W45" s="740">
        <v>5</v>
      </c>
      <c r="X45" s="741">
        <v>25</v>
      </c>
      <c r="Y45" s="740">
        <v>0</v>
      </c>
      <c r="Z45" s="741">
        <v>25</v>
      </c>
      <c r="AA45" s="622">
        <v>0</v>
      </c>
      <c r="AB45" s="622">
        <v>50</v>
      </c>
      <c r="AC45" s="740">
        <v>5.2</v>
      </c>
      <c r="AD45" s="741">
        <v>5.4</v>
      </c>
      <c r="AQ45" s="16"/>
    </row>
    <row r="46" spans="2:43">
      <c r="B46" s="671" t="s">
        <v>2269</v>
      </c>
      <c r="C46" s="127" t="s">
        <v>1175</v>
      </c>
      <c r="D46" s="622" t="s">
        <v>2153</v>
      </c>
      <c r="E46" s="740">
        <v>1.08</v>
      </c>
      <c r="F46" s="741">
        <v>1.1100000000000001</v>
      </c>
      <c r="G46" s="740">
        <v>1.018</v>
      </c>
      <c r="H46" s="741">
        <v>1.022</v>
      </c>
      <c r="I46" s="740">
        <v>9</v>
      </c>
      <c r="J46" s="741">
        <v>14</v>
      </c>
      <c r="K46" s="740">
        <v>25</v>
      </c>
      <c r="L46" s="741">
        <v>35</v>
      </c>
      <c r="M46" s="740">
        <v>40</v>
      </c>
      <c r="N46" s="741">
        <v>70</v>
      </c>
      <c r="O46" s="740">
        <v>0.5</v>
      </c>
      <c r="P46" s="741">
        <v>1</v>
      </c>
      <c r="Q46" s="740">
        <v>40</v>
      </c>
      <c r="R46" s="741">
        <v>80</v>
      </c>
      <c r="S46" s="740">
        <v>0</v>
      </c>
      <c r="T46" s="741">
        <v>50</v>
      </c>
      <c r="U46" s="740">
        <v>70</v>
      </c>
      <c r="V46" s="741">
        <v>150</v>
      </c>
      <c r="W46" s="740">
        <v>5</v>
      </c>
      <c r="X46" s="741">
        <v>30</v>
      </c>
      <c r="Y46" s="740">
        <v>10</v>
      </c>
      <c r="Z46" s="741">
        <v>40</v>
      </c>
      <c r="AA46" s="622">
        <v>0</v>
      </c>
      <c r="AB46" s="622">
        <v>30</v>
      </c>
      <c r="AC46" s="740">
        <v>5.3</v>
      </c>
      <c r="AD46" s="741">
        <v>5.5</v>
      </c>
      <c r="AQ46" s="16"/>
    </row>
    <row r="47" spans="2:43">
      <c r="B47" s="671" t="s">
        <v>2270</v>
      </c>
      <c r="C47" s="127" t="s">
        <v>1179</v>
      </c>
      <c r="D47" s="622" t="s">
        <v>2202</v>
      </c>
      <c r="E47" s="740">
        <v>1.08</v>
      </c>
      <c r="F47" s="741">
        <v>1.105</v>
      </c>
      <c r="G47" s="740">
        <v>1.018</v>
      </c>
      <c r="H47" s="741">
        <v>1.022</v>
      </c>
      <c r="I47" s="740">
        <v>8</v>
      </c>
      <c r="J47" s="741">
        <v>11</v>
      </c>
      <c r="K47" s="740">
        <v>35</v>
      </c>
      <c r="L47" s="741">
        <v>70</v>
      </c>
      <c r="M47" s="740">
        <v>30</v>
      </c>
      <c r="N47" s="741">
        <v>60</v>
      </c>
      <c r="O47" s="740">
        <v>0.6</v>
      </c>
      <c r="P47" s="741">
        <v>1.2</v>
      </c>
      <c r="Q47" s="740">
        <v>50</v>
      </c>
      <c r="R47" s="741">
        <v>100</v>
      </c>
      <c r="S47" s="740">
        <v>0</v>
      </c>
      <c r="T47" s="741">
        <v>50</v>
      </c>
      <c r="U47" s="740">
        <v>80</v>
      </c>
      <c r="V47" s="741">
        <v>160</v>
      </c>
      <c r="W47" s="740">
        <v>5</v>
      </c>
      <c r="X47" s="741">
        <v>30</v>
      </c>
      <c r="Y47" s="740">
        <v>10</v>
      </c>
      <c r="Z47" s="741">
        <v>50</v>
      </c>
      <c r="AA47" s="622">
        <v>0</v>
      </c>
      <c r="AB47" s="622">
        <v>60</v>
      </c>
      <c r="AC47" s="740">
        <v>5.3</v>
      </c>
      <c r="AD47" s="741">
        <v>5.5</v>
      </c>
      <c r="AQ47" s="16"/>
    </row>
    <row r="48" spans="2:43" ht="15.75">
      <c r="B48" s="671" t="s">
        <v>2271</v>
      </c>
      <c r="C48" s="19" t="s">
        <v>1155</v>
      </c>
      <c r="D48" s="622" t="s">
        <v>2164</v>
      </c>
      <c r="E48" s="651">
        <v>1.05</v>
      </c>
      <c r="F48" s="652">
        <v>1.07</v>
      </c>
      <c r="G48" s="651">
        <v>1.01</v>
      </c>
      <c r="H48" s="652">
        <v>1.014</v>
      </c>
      <c r="I48" s="651">
        <v>5</v>
      </c>
      <c r="J48" s="652">
        <v>7.5</v>
      </c>
      <c r="K48" s="651">
        <v>40</v>
      </c>
      <c r="L48" s="652">
        <v>60</v>
      </c>
      <c r="M48" s="651">
        <v>11.8</v>
      </c>
      <c r="N48" s="652">
        <v>27.5</v>
      </c>
      <c r="O48" s="645">
        <v>0.6</v>
      </c>
      <c r="P48" s="646">
        <v>1.2</v>
      </c>
      <c r="Q48" s="645">
        <v>30</v>
      </c>
      <c r="R48" s="646">
        <v>60</v>
      </c>
      <c r="S48" s="645">
        <v>0</v>
      </c>
      <c r="T48" s="646">
        <v>50</v>
      </c>
      <c r="U48" s="645">
        <v>50</v>
      </c>
      <c r="V48" s="646">
        <v>100</v>
      </c>
      <c r="W48" s="645">
        <v>5</v>
      </c>
      <c r="X48" s="646">
        <v>20</v>
      </c>
      <c r="Y48" s="645">
        <v>10</v>
      </c>
      <c r="Z48" s="646">
        <v>40</v>
      </c>
      <c r="AA48" s="640">
        <v>0</v>
      </c>
      <c r="AB48" s="636">
        <v>50</v>
      </c>
      <c r="AC48" s="645">
        <v>5.2</v>
      </c>
      <c r="AD48" s="646">
        <v>5.4</v>
      </c>
      <c r="AQ48" s="16"/>
    </row>
    <row r="49" spans="2:43">
      <c r="B49" s="671" t="s">
        <v>2272</v>
      </c>
      <c r="C49" s="127" t="s">
        <v>1181</v>
      </c>
      <c r="D49" s="622" t="s">
        <v>2189</v>
      </c>
      <c r="E49" s="740">
        <v>1.048</v>
      </c>
      <c r="F49" s="741">
        <v>1.056</v>
      </c>
      <c r="G49" s="740">
        <v>1.01</v>
      </c>
      <c r="H49" s="741">
        <v>1.014</v>
      </c>
      <c r="I49" s="740">
        <v>4.8</v>
      </c>
      <c r="J49" s="741">
        <v>5.6</v>
      </c>
      <c r="K49" s="740">
        <v>20</v>
      </c>
      <c r="L49" s="741">
        <v>40</v>
      </c>
      <c r="M49" s="740">
        <v>20</v>
      </c>
      <c r="N49" s="741">
        <v>40</v>
      </c>
      <c r="O49" s="740">
        <v>0.5</v>
      </c>
      <c r="P49" s="741">
        <v>1</v>
      </c>
      <c r="Q49" s="740">
        <v>30</v>
      </c>
      <c r="R49" s="741">
        <v>60</v>
      </c>
      <c r="S49" s="740">
        <v>0</v>
      </c>
      <c r="T49" s="741">
        <v>50</v>
      </c>
      <c r="U49" s="740">
        <v>50</v>
      </c>
      <c r="V49" s="741">
        <v>100</v>
      </c>
      <c r="W49" s="740">
        <v>5</v>
      </c>
      <c r="X49" s="741">
        <v>25</v>
      </c>
      <c r="Y49" s="740">
        <v>10</v>
      </c>
      <c r="Z49" s="741">
        <v>30</v>
      </c>
      <c r="AA49" s="622">
        <v>0</v>
      </c>
      <c r="AB49" s="622">
        <v>50</v>
      </c>
      <c r="AC49" s="740">
        <v>5.2</v>
      </c>
      <c r="AD49" s="741">
        <v>5.4</v>
      </c>
      <c r="AQ49" s="16"/>
    </row>
    <row r="50" spans="2:43">
      <c r="B50" s="671" t="s">
        <v>2273</v>
      </c>
      <c r="C50" s="127" t="s">
        <v>2227</v>
      </c>
      <c r="D50" s="622" t="s">
        <v>2179</v>
      </c>
      <c r="E50" s="740">
        <v>1.048</v>
      </c>
      <c r="F50" s="741">
        <v>1.056</v>
      </c>
      <c r="G50" s="740">
        <v>1.01</v>
      </c>
      <c r="H50" s="741">
        <v>1.014</v>
      </c>
      <c r="I50" s="740">
        <v>5</v>
      </c>
      <c r="J50" s="741">
        <v>5.8</v>
      </c>
      <c r="K50" s="740">
        <v>18</v>
      </c>
      <c r="L50" s="741">
        <v>28</v>
      </c>
      <c r="M50" s="740">
        <v>6</v>
      </c>
      <c r="N50" s="741">
        <v>12</v>
      </c>
      <c r="O50" s="740">
        <v>0.8</v>
      </c>
      <c r="P50" s="741">
        <v>1.2</v>
      </c>
      <c r="Q50" s="740">
        <v>40</v>
      </c>
      <c r="R50" s="741">
        <v>80</v>
      </c>
      <c r="S50" s="740">
        <v>0</v>
      </c>
      <c r="T50" s="741">
        <v>50</v>
      </c>
      <c r="U50" s="740">
        <v>40</v>
      </c>
      <c r="V50" s="741">
        <v>80</v>
      </c>
      <c r="W50" s="740">
        <v>5</v>
      </c>
      <c r="X50" s="741">
        <v>20</v>
      </c>
      <c r="Y50" s="740">
        <v>0</v>
      </c>
      <c r="Z50" s="741">
        <v>20</v>
      </c>
      <c r="AA50" s="622">
        <v>0</v>
      </c>
      <c r="AB50" s="622">
        <v>50</v>
      </c>
      <c r="AC50" s="740">
        <v>5.3</v>
      </c>
      <c r="AD50" s="741">
        <v>5.5</v>
      </c>
      <c r="AQ50" s="16"/>
    </row>
    <row r="51" spans="2:43">
      <c r="B51" s="671" t="s">
        <v>2274</v>
      </c>
      <c r="C51" s="670" t="s">
        <v>1177</v>
      </c>
      <c r="D51" s="622" t="s">
        <v>2190</v>
      </c>
      <c r="E51" s="740">
        <v>1.0449999999999999</v>
      </c>
      <c r="F51" s="741">
        <v>1.06</v>
      </c>
      <c r="G51" s="740">
        <v>1.008</v>
      </c>
      <c r="H51" s="741">
        <v>1.012</v>
      </c>
      <c r="I51" s="740">
        <v>4.5</v>
      </c>
      <c r="J51" s="741">
        <v>6</v>
      </c>
      <c r="K51" s="740">
        <v>10</v>
      </c>
      <c r="L51" s="741">
        <v>25</v>
      </c>
      <c r="M51" s="740">
        <v>12</v>
      </c>
      <c r="N51" s="741">
        <v>25</v>
      </c>
      <c r="O51" s="740">
        <v>0.4</v>
      </c>
      <c r="P51" s="741">
        <v>0.8</v>
      </c>
      <c r="Q51" s="740">
        <v>10</v>
      </c>
      <c r="R51" s="741">
        <v>40</v>
      </c>
      <c r="S51" s="740">
        <v>0</v>
      </c>
      <c r="T51" s="741">
        <v>30</v>
      </c>
      <c r="U51" s="740">
        <v>40</v>
      </c>
      <c r="V51" s="741">
        <v>90</v>
      </c>
      <c r="W51" s="740">
        <v>5</v>
      </c>
      <c r="X51" s="741">
        <v>20</v>
      </c>
      <c r="Y51" s="740">
        <v>0</v>
      </c>
      <c r="Z51" s="741">
        <v>20</v>
      </c>
      <c r="AA51" s="622">
        <v>0</v>
      </c>
      <c r="AB51" s="622">
        <v>30</v>
      </c>
      <c r="AC51" s="740">
        <v>3.2</v>
      </c>
      <c r="AD51" s="741">
        <v>3.6</v>
      </c>
      <c r="AQ51" s="16"/>
    </row>
    <row r="52" spans="2:43">
      <c r="B52" s="671" t="s">
        <v>2275</v>
      </c>
      <c r="C52" s="127" t="s">
        <v>1180</v>
      </c>
      <c r="D52" s="622" t="s">
        <v>2194</v>
      </c>
      <c r="E52" s="740">
        <v>1.056</v>
      </c>
      <c r="F52" s="741">
        <v>1.0680000000000001</v>
      </c>
      <c r="G52" s="740">
        <v>1.012</v>
      </c>
      <c r="H52" s="741">
        <v>1.016</v>
      </c>
      <c r="I52" s="740">
        <v>5.6</v>
      </c>
      <c r="J52" s="741">
        <v>6.8</v>
      </c>
      <c r="K52" s="740">
        <v>40</v>
      </c>
      <c r="L52" s="741">
        <v>70</v>
      </c>
      <c r="M52" s="740">
        <v>40</v>
      </c>
      <c r="N52" s="741">
        <v>80</v>
      </c>
      <c r="O52" s="740">
        <v>0.5</v>
      </c>
      <c r="P52" s="741">
        <v>1</v>
      </c>
      <c r="Q52" s="740">
        <v>40</v>
      </c>
      <c r="R52" s="741">
        <v>80</v>
      </c>
      <c r="S52" s="740">
        <v>0</v>
      </c>
      <c r="T52" s="741">
        <v>50</v>
      </c>
      <c r="U52" s="740">
        <v>60</v>
      </c>
      <c r="V52" s="741">
        <v>120</v>
      </c>
      <c r="W52" s="740">
        <v>5</v>
      </c>
      <c r="X52" s="741">
        <v>25</v>
      </c>
      <c r="Y52" s="740">
        <v>10</v>
      </c>
      <c r="Z52" s="741">
        <v>40</v>
      </c>
      <c r="AA52" s="622">
        <v>0</v>
      </c>
      <c r="AB52" s="622">
        <v>50</v>
      </c>
      <c r="AC52" s="740">
        <v>5.2</v>
      </c>
      <c r="AD52" s="741">
        <v>5.4</v>
      </c>
      <c r="AQ52" s="16"/>
    </row>
    <row r="53" spans="2:43">
      <c r="B53" s="671" t="s">
        <v>2276</v>
      </c>
      <c r="C53" s="127" t="s">
        <v>1178</v>
      </c>
      <c r="D53" s="622" t="s">
        <v>2215</v>
      </c>
      <c r="E53" s="740">
        <v>1.0449999999999999</v>
      </c>
      <c r="F53" s="741">
        <v>1.06</v>
      </c>
      <c r="G53" s="740">
        <v>1.008</v>
      </c>
      <c r="H53" s="741">
        <v>1.012</v>
      </c>
      <c r="I53" s="740">
        <v>4.5</v>
      </c>
      <c r="J53" s="741">
        <v>6</v>
      </c>
      <c r="K53" s="740">
        <v>10</v>
      </c>
      <c r="L53" s="741">
        <v>30</v>
      </c>
      <c r="M53" s="740">
        <v>8</v>
      </c>
      <c r="N53" s="741">
        <v>20</v>
      </c>
      <c r="O53" s="740">
        <v>0.4</v>
      </c>
      <c r="P53" s="741">
        <v>0.8</v>
      </c>
      <c r="Q53" s="740">
        <v>10</v>
      </c>
      <c r="R53" s="741">
        <v>40</v>
      </c>
      <c r="S53" s="740">
        <v>0</v>
      </c>
      <c r="T53" s="741">
        <v>30</v>
      </c>
      <c r="U53" s="740">
        <v>40</v>
      </c>
      <c r="V53" s="741">
        <v>90</v>
      </c>
      <c r="W53" s="740">
        <v>5</v>
      </c>
      <c r="X53" s="741">
        <v>20</v>
      </c>
      <c r="Y53" s="740">
        <v>0</v>
      </c>
      <c r="Z53" s="741">
        <v>20</v>
      </c>
      <c r="AA53" s="622">
        <v>0</v>
      </c>
      <c r="AB53" s="622">
        <v>30</v>
      </c>
      <c r="AC53" s="740">
        <v>3.2</v>
      </c>
      <c r="AD53" s="741">
        <v>3.6</v>
      </c>
      <c r="AQ53" s="16"/>
    </row>
    <row r="54" spans="2:43">
      <c r="B54" s="671" t="s">
        <v>2277</v>
      </c>
      <c r="C54" s="127" t="s">
        <v>2227</v>
      </c>
      <c r="D54" s="622" t="s">
        <v>2184</v>
      </c>
      <c r="E54" s="740">
        <v>1.028</v>
      </c>
      <c r="F54" s="741">
        <v>1.038</v>
      </c>
      <c r="G54" s="740">
        <v>1.004</v>
      </c>
      <c r="H54" s="741">
        <v>1.008</v>
      </c>
      <c r="I54" s="740">
        <v>2.8</v>
      </c>
      <c r="J54" s="741">
        <v>3.8</v>
      </c>
      <c r="K54" s="740">
        <v>8</v>
      </c>
      <c r="L54" s="741">
        <v>15</v>
      </c>
      <c r="M54" s="740">
        <v>2</v>
      </c>
      <c r="N54" s="741">
        <v>4</v>
      </c>
      <c r="O54" s="740">
        <v>0.5</v>
      </c>
      <c r="P54" s="741">
        <v>0.8</v>
      </c>
      <c r="Q54" s="740">
        <v>10</v>
      </c>
      <c r="R54" s="741">
        <v>25</v>
      </c>
      <c r="S54" s="740">
        <v>0</v>
      </c>
      <c r="T54" s="741">
        <v>20</v>
      </c>
      <c r="U54" s="740">
        <v>20</v>
      </c>
      <c r="V54" s="741">
        <v>50</v>
      </c>
      <c r="W54" s="740">
        <v>0</v>
      </c>
      <c r="X54" s="741">
        <v>10</v>
      </c>
      <c r="Y54" s="740">
        <v>0</v>
      </c>
      <c r="Z54" s="741">
        <v>10</v>
      </c>
      <c r="AA54" s="622">
        <v>0</v>
      </c>
      <c r="AB54" s="622">
        <v>20</v>
      </c>
      <c r="AC54" s="740">
        <v>5</v>
      </c>
      <c r="AD54" s="741">
        <v>5.2</v>
      </c>
      <c r="AQ54" s="16"/>
    </row>
    <row r="55" spans="2:43" ht="15.75">
      <c r="B55" s="671" t="s">
        <v>2278</v>
      </c>
      <c r="C55" s="127" t="s">
        <v>1172</v>
      </c>
      <c r="D55" s="622" t="s">
        <v>2185</v>
      </c>
      <c r="E55" s="651">
        <v>1.044</v>
      </c>
      <c r="F55" s="652">
        <v>1.056</v>
      </c>
      <c r="G55" s="651">
        <v>1.008</v>
      </c>
      <c r="H55" s="652">
        <v>1.014</v>
      </c>
      <c r="I55" s="651">
        <v>4.4000000000000004</v>
      </c>
      <c r="J55" s="652">
        <v>5.2</v>
      </c>
      <c r="K55" s="651">
        <v>22</v>
      </c>
      <c r="L55" s="652">
        <v>40</v>
      </c>
      <c r="M55" s="651">
        <v>3.5</v>
      </c>
      <c r="N55" s="652">
        <v>8</v>
      </c>
      <c r="O55" s="645">
        <v>0.6</v>
      </c>
      <c r="P55" s="646">
        <v>1.1000000000000001</v>
      </c>
      <c r="Q55" s="645">
        <v>30</v>
      </c>
      <c r="R55" s="646">
        <v>60</v>
      </c>
      <c r="S55" s="645">
        <v>0</v>
      </c>
      <c r="T55" s="646">
        <v>40</v>
      </c>
      <c r="U55" s="645">
        <v>40</v>
      </c>
      <c r="V55" s="646">
        <v>80</v>
      </c>
      <c r="W55" s="645">
        <v>5</v>
      </c>
      <c r="X55" s="646">
        <v>20</v>
      </c>
      <c r="Y55" s="645">
        <v>5</v>
      </c>
      <c r="Z55" s="646">
        <v>20</v>
      </c>
      <c r="AA55" s="640">
        <v>0</v>
      </c>
      <c r="AB55" s="636">
        <v>40</v>
      </c>
      <c r="AC55" s="645">
        <v>5.2</v>
      </c>
      <c r="AD55" s="646">
        <v>5.4</v>
      </c>
      <c r="AQ55" s="16"/>
    </row>
    <row r="56" spans="2:43">
      <c r="B56" s="671" t="s">
        <v>2279</v>
      </c>
      <c r="C56" s="127" t="s">
        <v>1178</v>
      </c>
      <c r="D56" s="622" t="s">
        <v>2218</v>
      </c>
      <c r="E56" s="740">
        <v>1.03</v>
      </c>
      <c r="F56" s="741">
        <v>1.0449999999999999</v>
      </c>
      <c r="G56" s="740">
        <v>1.006</v>
      </c>
      <c r="H56" s="741">
        <v>1.01</v>
      </c>
      <c r="I56" s="740">
        <v>3</v>
      </c>
      <c r="J56" s="741">
        <v>4.5</v>
      </c>
      <c r="K56" s="740">
        <v>5</v>
      </c>
      <c r="L56" s="741">
        <v>12</v>
      </c>
      <c r="M56" s="740">
        <v>4</v>
      </c>
      <c r="N56" s="741">
        <v>8</v>
      </c>
      <c r="O56" s="740">
        <v>0.4</v>
      </c>
      <c r="P56" s="741">
        <v>0.8</v>
      </c>
      <c r="Q56" s="740">
        <v>10</v>
      </c>
      <c r="R56" s="741">
        <v>30</v>
      </c>
      <c r="S56" s="740">
        <v>0</v>
      </c>
      <c r="T56" s="741">
        <v>20</v>
      </c>
      <c r="U56" s="740">
        <v>30</v>
      </c>
      <c r="V56" s="741">
        <v>60</v>
      </c>
      <c r="W56" s="740">
        <v>3</v>
      </c>
      <c r="X56" s="741">
        <v>10</v>
      </c>
      <c r="Y56" s="740">
        <v>0</v>
      </c>
      <c r="Z56" s="741">
        <v>15</v>
      </c>
      <c r="AA56" s="622">
        <v>0</v>
      </c>
      <c r="AB56" s="622">
        <v>20</v>
      </c>
      <c r="AC56" s="740">
        <v>3</v>
      </c>
      <c r="AD56" s="741">
        <v>3.5</v>
      </c>
      <c r="AQ56" s="16"/>
    </row>
    <row r="57" spans="2:43">
      <c r="B57" s="671" t="s">
        <v>2280</v>
      </c>
      <c r="C57" s="127" t="s">
        <v>1178</v>
      </c>
      <c r="D57" s="622" t="s">
        <v>2210</v>
      </c>
      <c r="E57" s="740">
        <v>1.0449999999999999</v>
      </c>
      <c r="F57" s="741">
        <v>1.06</v>
      </c>
      <c r="G57" s="740">
        <v>1.008</v>
      </c>
      <c r="H57" s="741">
        <v>1.012</v>
      </c>
      <c r="I57" s="740">
        <v>4.5</v>
      </c>
      <c r="J57" s="741">
        <v>6</v>
      </c>
      <c r="K57" s="740">
        <v>15</v>
      </c>
      <c r="L57" s="741">
        <v>35</v>
      </c>
      <c r="M57" s="740">
        <v>6</v>
      </c>
      <c r="N57" s="741">
        <v>15</v>
      </c>
      <c r="O57" s="740">
        <v>0.4</v>
      </c>
      <c r="P57" s="741">
        <v>0.8</v>
      </c>
      <c r="Q57" s="740">
        <v>10</v>
      </c>
      <c r="R57" s="741">
        <v>40</v>
      </c>
      <c r="S57" s="740">
        <v>0</v>
      </c>
      <c r="T57" s="741">
        <v>30</v>
      </c>
      <c r="U57" s="740">
        <v>40</v>
      </c>
      <c r="V57" s="741">
        <v>90</v>
      </c>
      <c r="W57" s="740">
        <v>5</v>
      </c>
      <c r="X57" s="741">
        <v>20</v>
      </c>
      <c r="Y57" s="740">
        <v>0</v>
      </c>
      <c r="Z57" s="741">
        <v>20</v>
      </c>
      <c r="AA57" s="622">
        <v>0</v>
      </c>
      <c r="AB57" s="622">
        <v>30</v>
      </c>
      <c r="AC57" s="740">
        <v>3.2</v>
      </c>
      <c r="AD57" s="741">
        <v>3.6</v>
      </c>
      <c r="AQ57" s="16"/>
    </row>
    <row r="58" spans="2:43">
      <c r="B58" s="671" t="s">
        <v>2281</v>
      </c>
      <c r="C58" s="127" t="s">
        <v>1175</v>
      </c>
      <c r="D58" s="622" t="s">
        <v>2154</v>
      </c>
      <c r="E58" s="740">
        <v>1.06</v>
      </c>
      <c r="F58" s="741">
        <v>1.07</v>
      </c>
      <c r="G58" s="740">
        <v>1.012</v>
      </c>
      <c r="H58" s="741">
        <v>1.016</v>
      </c>
      <c r="I58" s="740">
        <v>6</v>
      </c>
      <c r="J58" s="741">
        <v>7.2</v>
      </c>
      <c r="K58" s="740">
        <v>20</v>
      </c>
      <c r="L58" s="741">
        <v>30</v>
      </c>
      <c r="M58" s="740">
        <v>12</v>
      </c>
      <c r="N58" s="741">
        <v>25</v>
      </c>
      <c r="O58" s="740">
        <v>0.6</v>
      </c>
      <c r="P58" s="741">
        <v>1.2</v>
      </c>
      <c r="Q58" s="740">
        <v>30</v>
      </c>
      <c r="R58" s="741">
        <v>60</v>
      </c>
      <c r="S58" s="740">
        <v>0</v>
      </c>
      <c r="T58" s="741">
        <v>50</v>
      </c>
      <c r="U58" s="740">
        <v>50</v>
      </c>
      <c r="V58" s="741">
        <v>100</v>
      </c>
      <c r="W58" s="740">
        <v>5</v>
      </c>
      <c r="X58" s="741">
        <v>25</v>
      </c>
      <c r="Y58" s="740">
        <v>10</v>
      </c>
      <c r="Z58" s="741">
        <v>30</v>
      </c>
      <c r="AA58" s="622">
        <v>0</v>
      </c>
      <c r="AB58" s="622">
        <v>50</v>
      </c>
      <c r="AC58" s="740">
        <v>5.2</v>
      </c>
      <c r="AD58" s="741">
        <v>5.4</v>
      </c>
      <c r="AQ58" s="16"/>
    </row>
    <row r="59" spans="2:43">
      <c r="B59" s="671" t="s">
        <v>2282</v>
      </c>
      <c r="C59" s="127" t="s">
        <v>2227</v>
      </c>
      <c r="D59" s="622" t="s">
        <v>2178</v>
      </c>
      <c r="E59" s="740">
        <v>1.048</v>
      </c>
      <c r="F59" s="741">
        <v>1.056</v>
      </c>
      <c r="G59" s="740">
        <v>1.01</v>
      </c>
      <c r="H59" s="741">
        <v>1.014</v>
      </c>
      <c r="I59" s="740">
        <v>4.8</v>
      </c>
      <c r="J59" s="741">
        <v>5.6</v>
      </c>
      <c r="K59" s="740">
        <v>20</v>
      </c>
      <c r="L59" s="741">
        <v>28</v>
      </c>
      <c r="M59" s="740">
        <v>6</v>
      </c>
      <c r="N59" s="741">
        <v>12</v>
      </c>
      <c r="O59" s="740">
        <v>0.6</v>
      </c>
      <c r="P59" s="741">
        <v>1</v>
      </c>
      <c r="Q59" s="740">
        <v>20</v>
      </c>
      <c r="R59" s="741">
        <v>50</v>
      </c>
      <c r="S59" s="740">
        <v>0</v>
      </c>
      <c r="T59" s="741">
        <v>40</v>
      </c>
      <c r="U59" s="740">
        <v>40</v>
      </c>
      <c r="V59" s="741">
        <v>80</v>
      </c>
      <c r="W59" s="740">
        <v>5</v>
      </c>
      <c r="X59" s="741">
        <v>20</v>
      </c>
      <c r="Y59" s="740">
        <v>5</v>
      </c>
      <c r="Z59" s="741">
        <v>20</v>
      </c>
      <c r="AA59" s="622">
        <v>0</v>
      </c>
      <c r="AB59" s="622">
        <v>40</v>
      </c>
      <c r="AC59" s="740">
        <v>5.2</v>
      </c>
      <c r="AD59" s="741">
        <v>5.4</v>
      </c>
      <c r="AQ59" s="16"/>
    </row>
    <row r="60" spans="2:43">
      <c r="B60" s="671" t="s">
        <v>2610</v>
      </c>
      <c r="C60" s="127" t="s">
        <v>2133</v>
      </c>
      <c r="D60" s="622">
        <v>27</v>
      </c>
      <c r="E60" s="740">
        <v>1.036</v>
      </c>
      <c r="F60" s="741">
        <v>1.044</v>
      </c>
      <c r="G60" s="740">
        <v>1.008</v>
      </c>
      <c r="H60" s="741">
        <v>1.012</v>
      </c>
      <c r="I60" s="740">
        <v>3.6</v>
      </c>
      <c r="J60" s="741">
        <v>4.4000000000000004</v>
      </c>
      <c r="K60" s="740">
        <v>10</v>
      </c>
      <c r="L60" s="741">
        <v>20</v>
      </c>
      <c r="M60" s="740">
        <v>6</v>
      </c>
      <c r="N60" s="741">
        <v>12</v>
      </c>
      <c r="O60" s="740">
        <v>0.5</v>
      </c>
      <c r="P60" s="741">
        <v>1</v>
      </c>
      <c r="Q60" s="740">
        <v>10</v>
      </c>
      <c r="R60" s="741">
        <v>30</v>
      </c>
      <c r="S60" s="740">
        <v>0</v>
      </c>
      <c r="T60" s="741">
        <v>20</v>
      </c>
      <c r="U60" s="740">
        <v>30</v>
      </c>
      <c r="V60" s="741">
        <v>60</v>
      </c>
      <c r="W60" s="740">
        <v>3</v>
      </c>
      <c r="X60" s="741">
        <v>10</v>
      </c>
      <c r="Y60" s="740">
        <v>0</v>
      </c>
      <c r="Z60" s="741">
        <v>10</v>
      </c>
      <c r="AA60" s="622">
        <v>0</v>
      </c>
      <c r="AB60" s="622">
        <v>20</v>
      </c>
      <c r="AC60" s="740">
        <v>5.2</v>
      </c>
      <c r="AD60" s="741">
        <v>5.4</v>
      </c>
      <c r="AQ60" s="16"/>
    </row>
    <row r="61" spans="2:43">
      <c r="B61" s="671" t="s">
        <v>2609</v>
      </c>
      <c r="C61" s="127" t="s">
        <v>2133</v>
      </c>
      <c r="D61" s="622">
        <v>27</v>
      </c>
      <c r="E61" s="740">
        <v>1.036</v>
      </c>
      <c r="F61" s="741">
        <v>1.044</v>
      </c>
      <c r="G61" s="740">
        <v>1.008</v>
      </c>
      <c r="H61" s="741">
        <v>1.012</v>
      </c>
      <c r="I61" s="740">
        <v>3.6</v>
      </c>
      <c r="J61" s="741">
        <v>4.4000000000000004</v>
      </c>
      <c r="K61" s="740">
        <v>10</v>
      </c>
      <c r="L61" s="741">
        <v>20</v>
      </c>
      <c r="M61" s="740">
        <v>4</v>
      </c>
      <c r="N61" s="741">
        <v>6</v>
      </c>
      <c r="O61" s="740">
        <v>0.5</v>
      </c>
      <c r="P61" s="741">
        <v>1</v>
      </c>
      <c r="Q61" s="740">
        <v>10</v>
      </c>
      <c r="R61" s="741">
        <v>30</v>
      </c>
      <c r="S61" s="740">
        <v>0</v>
      </c>
      <c r="T61" s="741">
        <v>20</v>
      </c>
      <c r="U61" s="740">
        <v>30</v>
      </c>
      <c r="V61" s="741">
        <v>60</v>
      </c>
      <c r="W61" s="740">
        <v>3</v>
      </c>
      <c r="X61" s="741">
        <v>10</v>
      </c>
      <c r="Y61" s="740">
        <v>0</v>
      </c>
      <c r="Z61" s="741">
        <v>10</v>
      </c>
      <c r="AA61" s="622">
        <v>0</v>
      </c>
      <c r="AB61" s="622">
        <v>20</v>
      </c>
      <c r="AC61" s="740">
        <v>5.2</v>
      </c>
      <c r="AD61" s="741">
        <v>5.4</v>
      </c>
      <c r="AQ61" s="16"/>
    </row>
    <row r="62" spans="2:43">
      <c r="B62" s="671" t="s">
        <v>2611</v>
      </c>
      <c r="C62" s="127" t="s">
        <v>2133</v>
      </c>
      <c r="D62" s="622">
        <v>27</v>
      </c>
      <c r="E62" s="740">
        <v>1.044</v>
      </c>
      <c r="F62" s="741">
        <v>1.052</v>
      </c>
      <c r="G62" s="740">
        <v>1.008</v>
      </c>
      <c r="H62" s="741">
        <v>1.012</v>
      </c>
      <c r="I62" s="740">
        <v>4.4000000000000004</v>
      </c>
      <c r="J62" s="741">
        <v>5.2</v>
      </c>
      <c r="K62" s="740">
        <v>10</v>
      </c>
      <c r="L62" s="741">
        <v>20</v>
      </c>
      <c r="M62" s="740">
        <v>6</v>
      </c>
      <c r="N62" s="741">
        <v>12</v>
      </c>
      <c r="O62" s="740">
        <v>0.5</v>
      </c>
      <c r="P62" s="741">
        <v>1</v>
      </c>
      <c r="Q62" s="740">
        <v>20</v>
      </c>
      <c r="R62" s="741">
        <v>40</v>
      </c>
      <c r="S62" s="740">
        <v>0</v>
      </c>
      <c r="T62" s="741">
        <v>30</v>
      </c>
      <c r="U62" s="740">
        <v>40</v>
      </c>
      <c r="V62" s="741">
        <v>80</v>
      </c>
      <c r="W62" s="740">
        <v>5</v>
      </c>
      <c r="X62" s="741">
        <v>20</v>
      </c>
      <c r="Y62" s="740">
        <v>0</v>
      </c>
      <c r="Z62" s="741">
        <v>20</v>
      </c>
      <c r="AA62" s="622">
        <v>0</v>
      </c>
      <c r="AB62" s="622">
        <v>30</v>
      </c>
      <c r="AC62" s="740">
        <v>5.2</v>
      </c>
      <c r="AD62" s="741">
        <v>5.4</v>
      </c>
      <c r="AQ62" s="16"/>
    </row>
    <row r="63" spans="2:43">
      <c r="B63" s="671" t="s">
        <v>2612</v>
      </c>
      <c r="C63" s="127" t="s">
        <v>2133</v>
      </c>
      <c r="D63" s="622">
        <v>27</v>
      </c>
      <c r="E63" s="740">
        <v>1.06</v>
      </c>
      <c r="F63" s="741">
        <v>1.08</v>
      </c>
      <c r="G63" s="740">
        <v>1.01</v>
      </c>
      <c r="H63" s="741">
        <v>1.018</v>
      </c>
      <c r="I63" s="740">
        <v>6</v>
      </c>
      <c r="J63" s="741">
        <v>8</v>
      </c>
      <c r="K63" s="740">
        <v>15</v>
      </c>
      <c r="L63" s="741">
        <v>30</v>
      </c>
      <c r="M63" s="740">
        <v>12</v>
      </c>
      <c r="N63" s="741">
        <v>25</v>
      </c>
      <c r="O63" s="740">
        <v>0.5</v>
      </c>
      <c r="P63" s="741">
        <v>1</v>
      </c>
      <c r="Q63" s="740">
        <v>25</v>
      </c>
      <c r="R63" s="741">
        <v>50</v>
      </c>
      <c r="S63" s="740">
        <v>0</v>
      </c>
      <c r="T63" s="741">
        <v>40</v>
      </c>
      <c r="U63" s="740">
        <v>50</v>
      </c>
      <c r="V63" s="741">
        <v>120</v>
      </c>
      <c r="W63" s="740">
        <v>5</v>
      </c>
      <c r="X63" s="741">
        <v>25</v>
      </c>
      <c r="Y63" s="740">
        <v>0</v>
      </c>
      <c r="Z63" s="741">
        <v>25</v>
      </c>
      <c r="AA63" s="622">
        <v>0</v>
      </c>
      <c r="AB63" s="622">
        <v>50</v>
      </c>
      <c r="AC63" s="740">
        <v>5.2</v>
      </c>
      <c r="AD63" s="741">
        <v>5.4</v>
      </c>
      <c r="AQ63" s="16"/>
    </row>
    <row r="64" spans="2:43">
      <c r="B64" s="671" t="s">
        <v>2283</v>
      </c>
      <c r="C64" s="127" t="s">
        <v>1180</v>
      </c>
      <c r="D64" s="622" t="s">
        <v>2192</v>
      </c>
      <c r="E64" s="740">
        <v>1.075</v>
      </c>
      <c r="F64" s="741">
        <v>1.1000000000000001</v>
      </c>
      <c r="G64" s="740">
        <v>1.018</v>
      </c>
      <c r="H64" s="741">
        <v>1.022</v>
      </c>
      <c r="I64" s="740">
        <v>7.5</v>
      </c>
      <c r="J64" s="741">
        <v>10</v>
      </c>
      <c r="K64" s="740">
        <v>50</v>
      </c>
      <c r="L64" s="741">
        <v>90</v>
      </c>
      <c r="M64" s="740">
        <v>50</v>
      </c>
      <c r="N64" s="741">
        <v>100</v>
      </c>
      <c r="O64" s="740">
        <v>0.6</v>
      </c>
      <c r="P64" s="741">
        <v>1.2</v>
      </c>
      <c r="Q64" s="740">
        <v>50</v>
      </c>
      <c r="R64" s="741">
        <v>120</v>
      </c>
      <c r="S64" s="740">
        <v>0</v>
      </c>
      <c r="T64" s="741">
        <v>50</v>
      </c>
      <c r="U64" s="740">
        <v>80</v>
      </c>
      <c r="V64" s="741">
        <v>150</v>
      </c>
      <c r="W64" s="740">
        <v>5</v>
      </c>
      <c r="X64" s="741">
        <v>30</v>
      </c>
      <c r="Y64" s="740">
        <v>10</v>
      </c>
      <c r="Z64" s="741">
        <v>50</v>
      </c>
      <c r="AA64" s="622">
        <v>0</v>
      </c>
      <c r="AB64" s="622">
        <v>60</v>
      </c>
      <c r="AC64" s="740">
        <v>5.2</v>
      </c>
      <c r="AD64" s="741">
        <v>5.4</v>
      </c>
      <c r="AQ64" s="16"/>
    </row>
    <row r="65" spans="2:43">
      <c r="B65" s="671" t="s">
        <v>2284</v>
      </c>
      <c r="C65" s="127" t="s">
        <v>1173</v>
      </c>
      <c r="D65" s="622" t="s">
        <v>2149</v>
      </c>
      <c r="E65" s="740">
        <v>1.05</v>
      </c>
      <c r="F65" s="741">
        <v>1.06</v>
      </c>
      <c r="G65" s="740">
        <v>1.01</v>
      </c>
      <c r="H65" s="741">
        <v>1.014</v>
      </c>
      <c r="I65" s="740">
        <v>4.8</v>
      </c>
      <c r="J65" s="741">
        <v>5.8</v>
      </c>
      <c r="K65" s="740">
        <v>20</v>
      </c>
      <c r="L65" s="741">
        <v>35</v>
      </c>
      <c r="M65" s="740">
        <v>10</v>
      </c>
      <c r="N65" s="741">
        <v>20</v>
      </c>
      <c r="O65" s="740">
        <v>0.7</v>
      </c>
      <c r="P65" s="741">
        <v>1.2</v>
      </c>
      <c r="Q65" s="740">
        <v>20</v>
      </c>
      <c r="R65" s="741">
        <v>50</v>
      </c>
      <c r="S65" s="740">
        <v>0</v>
      </c>
      <c r="T65" s="741">
        <v>40</v>
      </c>
      <c r="U65" s="740">
        <v>40</v>
      </c>
      <c r="V65" s="741">
        <v>80</v>
      </c>
      <c r="W65" s="740">
        <v>5</v>
      </c>
      <c r="X65" s="741">
        <v>20</v>
      </c>
      <c r="Y65" s="740">
        <v>5</v>
      </c>
      <c r="Z65" s="741">
        <v>25</v>
      </c>
      <c r="AA65" s="622">
        <v>0</v>
      </c>
      <c r="AB65" s="622">
        <v>40</v>
      </c>
      <c r="AC65" s="740">
        <v>5.2</v>
      </c>
      <c r="AD65" s="741">
        <v>5.4</v>
      </c>
      <c r="AQ65" s="16"/>
    </row>
    <row r="66" spans="2:43">
      <c r="B66" s="671" t="s">
        <v>2285</v>
      </c>
      <c r="C66" s="127" t="s">
        <v>1174</v>
      </c>
      <c r="D66" s="622" t="s">
        <v>2162</v>
      </c>
      <c r="E66" s="740">
        <v>1.05</v>
      </c>
      <c r="F66" s="741">
        <v>1.06</v>
      </c>
      <c r="G66" s="740">
        <v>1.01</v>
      </c>
      <c r="H66" s="741">
        <v>1.014</v>
      </c>
      <c r="I66" s="740">
        <v>4.8</v>
      </c>
      <c r="J66" s="741">
        <v>5.8</v>
      </c>
      <c r="K66" s="740">
        <v>20</v>
      </c>
      <c r="L66" s="741">
        <v>35</v>
      </c>
      <c r="M66" s="740">
        <v>15</v>
      </c>
      <c r="N66" s="741">
        <v>25</v>
      </c>
      <c r="O66" s="740">
        <v>0.7</v>
      </c>
      <c r="P66" s="741">
        <v>1.2</v>
      </c>
      <c r="Q66" s="740">
        <v>30</v>
      </c>
      <c r="R66" s="741">
        <v>60</v>
      </c>
      <c r="S66" s="740">
        <v>0</v>
      </c>
      <c r="T66" s="741">
        <v>50</v>
      </c>
      <c r="U66" s="740">
        <v>40</v>
      </c>
      <c r="V66" s="741">
        <v>80</v>
      </c>
      <c r="W66" s="740">
        <v>5</v>
      </c>
      <c r="X66" s="741">
        <v>20</v>
      </c>
      <c r="Y66" s="740">
        <v>10</v>
      </c>
      <c r="Z66" s="741">
        <v>30</v>
      </c>
      <c r="AA66" s="622">
        <v>0</v>
      </c>
      <c r="AB66" s="622">
        <v>50</v>
      </c>
      <c r="AC66" s="740">
        <v>5.2</v>
      </c>
      <c r="AD66" s="741">
        <v>5.4</v>
      </c>
      <c r="AQ66" s="16"/>
    </row>
    <row r="67" spans="2:43">
      <c r="B67" s="671" t="s">
        <v>2286</v>
      </c>
      <c r="C67" s="127" t="s">
        <v>2227</v>
      </c>
      <c r="D67" s="622" t="s">
        <v>2181</v>
      </c>
      <c r="E67" s="740">
        <v>1.038</v>
      </c>
      <c r="F67" s="741">
        <v>1.05</v>
      </c>
      <c r="G67" s="740">
        <v>1.006</v>
      </c>
      <c r="H67" s="741">
        <v>1.01</v>
      </c>
      <c r="I67" s="740">
        <v>3.8</v>
      </c>
      <c r="J67" s="741">
        <v>5</v>
      </c>
      <c r="K67" s="740">
        <v>10</v>
      </c>
      <c r="L67" s="741">
        <v>20</v>
      </c>
      <c r="M67" s="740">
        <v>3</v>
      </c>
      <c r="N67" s="741">
        <v>6</v>
      </c>
      <c r="O67" s="740">
        <v>0.4</v>
      </c>
      <c r="P67" s="741">
        <v>0.8</v>
      </c>
      <c r="Q67" s="740">
        <v>10</v>
      </c>
      <c r="R67" s="741">
        <v>30</v>
      </c>
      <c r="S67" s="740">
        <v>0</v>
      </c>
      <c r="T67" s="741">
        <v>30</v>
      </c>
      <c r="U67" s="740">
        <v>30</v>
      </c>
      <c r="V67" s="741">
        <v>70</v>
      </c>
      <c r="W67" s="740">
        <v>0</v>
      </c>
      <c r="X67" s="741">
        <v>15</v>
      </c>
      <c r="Y67" s="740">
        <v>0</v>
      </c>
      <c r="Z67" s="741">
        <v>15</v>
      </c>
      <c r="AA67" s="622">
        <v>0</v>
      </c>
      <c r="AB67" s="622">
        <v>30</v>
      </c>
      <c r="AC67" s="740">
        <v>5.2</v>
      </c>
      <c r="AD67" s="741">
        <v>5.4</v>
      </c>
      <c r="AQ67" s="16"/>
    </row>
    <row r="68" spans="2:43" ht="15.75">
      <c r="B68" s="671" t="s">
        <v>2287</v>
      </c>
      <c r="C68" s="127" t="s">
        <v>1180</v>
      </c>
      <c r="D68" s="622" t="s">
        <v>2193</v>
      </c>
      <c r="E68" s="651">
        <v>1.052</v>
      </c>
      <c r="F68" s="652">
        <v>1.0620000000000001</v>
      </c>
      <c r="G68" s="651">
        <v>1.01</v>
      </c>
      <c r="H68" s="652">
        <v>1.014</v>
      </c>
      <c r="I68" s="651">
        <v>5</v>
      </c>
      <c r="J68" s="652">
        <v>6.5</v>
      </c>
      <c r="K68" s="651">
        <v>35</v>
      </c>
      <c r="L68" s="652">
        <v>50</v>
      </c>
      <c r="M68" s="651">
        <v>59</v>
      </c>
      <c r="N68" s="652">
        <v>79</v>
      </c>
      <c r="O68" s="645">
        <v>0.5</v>
      </c>
      <c r="P68" s="646">
        <v>1</v>
      </c>
      <c r="Q68" s="645">
        <v>30</v>
      </c>
      <c r="R68" s="646">
        <v>60</v>
      </c>
      <c r="S68" s="645">
        <v>0</v>
      </c>
      <c r="T68" s="646">
        <v>50</v>
      </c>
      <c r="U68" s="645">
        <v>60</v>
      </c>
      <c r="V68" s="646">
        <v>120</v>
      </c>
      <c r="W68" s="645">
        <v>5</v>
      </c>
      <c r="X68" s="646">
        <v>25</v>
      </c>
      <c r="Y68" s="645">
        <v>10</v>
      </c>
      <c r="Z68" s="646">
        <v>40</v>
      </c>
      <c r="AA68" s="640">
        <v>0</v>
      </c>
      <c r="AB68" s="636">
        <v>50</v>
      </c>
      <c r="AC68" s="645">
        <v>5.2</v>
      </c>
      <c r="AD68" s="646">
        <v>5.4</v>
      </c>
      <c r="AQ68" s="16"/>
    </row>
    <row r="69" spans="2:43">
      <c r="B69" s="671" t="s">
        <v>2288</v>
      </c>
      <c r="C69" s="127" t="s">
        <v>1183</v>
      </c>
      <c r="D69" s="622" t="s">
        <v>2141</v>
      </c>
      <c r="E69" s="740">
        <v>1.048</v>
      </c>
      <c r="F69" s="741">
        <v>1.056</v>
      </c>
      <c r="G69" s="740">
        <v>1.01</v>
      </c>
      <c r="H69" s="741">
        <v>1.014</v>
      </c>
      <c r="I69" s="740">
        <v>4.8</v>
      </c>
      <c r="J69" s="741">
        <v>5.6</v>
      </c>
      <c r="K69" s="740">
        <v>20</v>
      </c>
      <c r="L69" s="741">
        <v>35</v>
      </c>
      <c r="M69" s="740">
        <v>12</v>
      </c>
      <c r="N69" s="741">
        <v>22</v>
      </c>
      <c r="O69" s="740">
        <v>0.6</v>
      </c>
      <c r="P69" s="741">
        <v>1.2</v>
      </c>
      <c r="Q69" s="740">
        <v>30</v>
      </c>
      <c r="R69" s="741">
        <v>60</v>
      </c>
      <c r="S69" s="740">
        <v>0</v>
      </c>
      <c r="T69" s="741">
        <v>50</v>
      </c>
      <c r="U69" s="740">
        <v>50</v>
      </c>
      <c r="V69" s="741">
        <v>100</v>
      </c>
      <c r="W69" s="740">
        <v>5</v>
      </c>
      <c r="X69" s="741">
        <v>20</v>
      </c>
      <c r="Y69" s="740">
        <v>10</v>
      </c>
      <c r="Z69" s="741">
        <v>30</v>
      </c>
      <c r="AA69" s="622">
        <v>0</v>
      </c>
      <c r="AB69" s="622">
        <v>50</v>
      </c>
      <c r="AC69" s="740">
        <v>5.2</v>
      </c>
      <c r="AD69" s="741">
        <v>5.4</v>
      </c>
      <c r="AQ69" s="16"/>
    </row>
    <row r="70" spans="2:43" ht="15.75">
      <c r="B70" s="671" t="s">
        <v>2289</v>
      </c>
      <c r="C70" s="127" t="s">
        <v>1180</v>
      </c>
      <c r="D70" s="622" t="s">
        <v>2196</v>
      </c>
      <c r="E70" s="651">
        <v>1.036</v>
      </c>
      <c r="F70" s="652">
        <v>1.044</v>
      </c>
      <c r="G70" s="651">
        <v>1.008</v>
      </c>
      <c r="H70" s="652">
        <v>1.012</v>
      </c>
      <c r="I70" s="651">
        <v>3.8</v>
      </c>
      <c r="J70" s="652">
        <v>5.2</v>
      </c>
      <c r="K70" s="651">
        <v>25</v>
      </c>
      <c r="L70" s="652">
        <v>45</v>
      </c>
      <c r="M70" s="651">
        <v>49.5</v>
      </c>
      <c r="N70" s="652">
        <v>79</v>
      </c>
      <c r="O70" s="645">
        <v>0.5</v>
      </c>
      <c r="P70" s="646">
        <v>1</v>
      </c>
      <c r="Q70" s="645">
        <v>30</v>
      </c>
      <c r="R70" s="646">
        <v>60</v>
      </c>
      <c r="S70" s="645">
        <v>0</v>
      </c>
      <c r="T70" s="646">
        <v>50</v>
      </c>
      <c r="U70" s="645">
        <v>50</v>
      </c>
      <c r="V70" s="646">
        <v>100</v>
      </c>
      <c r="W70" s="645">
        <v>5</v>
      </c>
      <c r="X70" s="646">
        <v>20</v>
      </c>
      <c r="Y70" s="645">
        <v>5</v>
      </c>
      <c r="Z70" s="646">
        <v>25</v>
      </c>
      <c r="AA70" s="640">
        <v>0</v>
      </c>
      <c r="AB70" s="636">
        <v>50</v>
      </c>
      <c r="AC70" s="645">
        <v>5.2</v>
      </c>
      <c r="AD70" s="646">
        <v>5.4</v>
      </c>
      <c r="AQ70" s="16"/>
    </row>
    <row r="71" spans="2:43">
      <c r="B71" s="671" t="s">
        <v>2290</v>
      </c>
      <c r="C71" s="127" t="s">
        <v>1176</v>
      </c>
      <c r="D71" s="622" t="s">
        <v>2173</v>
      </c>
      <c r="E71" s="740">
        <v>1.044</v>
      </c>
      <c r="F71" s="741">
        <v>1.05</v>
      </c>
      <c r="G71" s="740">
        <v>1.0069999999999999</v>
      </c>
      <c r="H71" s="741">
        <v>1.0109999999999999</v>
      </c>
      <c r="I71" s="740">
        <v>4.4000000000000004</v>
      </c>
      <c r="J71" s="741">
        <v>5.2</v>
      </c>
      <c r="K71" s="740">
        <v>18</v>
      </c>
      <c r="L71" s="741">
        <v>30</v>
      </c>
      <c r="M71" s="740">
        <v>4</v>
      </c>
      <c r="N71" s="741">
        <v>6</v>
      </c>
      <c r="O71" s="740">
        <v>0.7</v>
      </c>
      <c r="P71" s="741">
        <v>1.1000000000000001</v>
      </c>
      <c r="Q71" s="740">
        <v>50</v>
      </c>
      <c r="R71" s="741">
        <v>100</v>
      </c>
      <c r="S71" s="740">
        <v>0</v>
      </c>
      <c r="T71" s="741">
        <v>50</v>
      </c>
      <c r="U71" s="740">
        <v>40</v>
      </c>
      <c r="V71" s="741">
        <v>80</v>
      </c>
      <c r="W71" s="740">
        <v>5</v>
      </c>
      <c r="X71" s="741">
        <v>15</v>
      </c>
      <c r="Y71" s="740">
        <v>0</v>
      </c>
      <c r="Z71" s="741">
        <v>30</v>
      </c>
      <c r="AA71" s="622">
        <v>0</v>
      </c>
      <c r="AB71" s="622">
        <v>40</v>
      </c>
      <c r="AC71" s="740">
        <v>5.3</v>
      </c>
      <c r="AD71" s="741">
        <v>5.5</v>
      </c>
      <c r="AQ71" s="16"/>
    </row>
    <row r="72" spans="2:43">
      <c r="B72" s="671" t="s">
        <v>2291</v>
      </c>
      <c r="C72" s="127" t="s">
        <v>1178</v>
      </c>
      <c r="D72" s="622" t="s">
        <v>2214</v>
      </c>
      <c r="E72" s="740">
        <v>1.04</v>
      </c>
      <c r="F72" s="741">
        <v>1.0549999999999999</v>
      </c>
      <c r="G72" s="740">
        <v>1.006</v>
      </c>
      <c r="H72" s="741">
        <v>1.01</v>
      </c>
      <c r="I72" s="740">
        <v>4</v>
      </c>
      <c r="J72" s="741">
        <v>5.5</v>
      </c>
      <c r="K72" s="740">
        <v>10</v>
      </c>
      <c r="L72" s="741">
        <v>30</v>
      </c>
      <c r="M72" s="740">
        <v>6</v>
      </c>
      <c r="N72" s="741">
        <v>15</v>
      </c>
      <c r="O72" s="740">
        <v>0.4</v>
      </c>
      <c r="P72" s="741">
        <v>0.8</v>
      </c>
      <c r="Q72" s="740">
        <v>10</v>
      </c>
      <c r="R72" s="741">
        <v>40</v>
      </c>
      <c r="S72" s="740">
        <v>0</v>
      </c>
      <c r="T72" s="741">
        <v>30</v>
      </c>
      <c r="U72" s="740">
        <v>30</v>
      </c>
      <c r="V72" s="741">
        <v>80</v>
      </c>
      <c r="W72" s="740">
        <v>3</v>
      </c>
      <c r="X72" s="741">
        <v>15</v>
      </c>
      <c r="Y72" s="740">
        <v>0</v>
      </c>
      <c r="Z72" s="741">
        <v>15</v>
      </c>
      <c r="AA72" s="622">
        <v>0</v>
      </c>
      <c r="AB72" s="622">
        <v>30</v>
      </c>
      <c r="AC72" s="740">
        <v>3.2</v>
      </c>
      <c r="AD72" s="741">
        <v>3.6</v>
      </c>
      <c r="AQ72" s="16"/>
    </row>
    <row r="73" spans="2:43">
      <c r="B73" s="671" t="s">
        <v>2292</v>
      </c>
      <c r="C73" s="127" t="s">
        <v>1173</v>
      </c>
      <c r="D73" s="622" t="s">
        <v>2148</v>
      </c>
      <c r="E73" s="740">
        <v>1.054</v>
      </c>
      <c r="F73" s="741">
        <v>1.0640000000000001</v>
      </c>
      <c r="G73" s="740">
        <v>1.012</v>
      </c>
      <c r="H73" s="741">
        <v>1.016</v>
      </c>
      <c r="I73" s="740">
        <v>5.4</v>
      </c>
      <c r="J73" s="741">
        <v>6.4</v>
      </c>
      <c r="K73" s="740">
        <v>25</v>
      </c>
      <c r="L73" s="741">
        <v>35</v>
      </c>
      <c r="M73" s="740">
        <v>14</v>
      </c>
      <c r="N73" s="741">
        <v>28</v>
      </c>
      <c r="O73" s="740">
        <v>0.7</v>
      </c>
      <c r="P73" s="741">
        <v>1.3</v>
      </c>
      <c r="Q73" s="740">
        <v>30</v>
      </c>
      <c r="R73" s="741">
        <v>60</v>
      </c>
      <c r="S73" s="740">
        <v>0</v>
      </c>
      <c r="T73" s="741">
        <v>50</v>
      </c>
      <c r="U73" s="740">
        <v>50</v>
      </c>
      <c r="V73" s="741">
        <v>100</v>
      </c>
      <c r="W73" s="740">
        <v>5</v>
      </c>
      <c r="X73" s="741">
        <v>25</v>
      </c>
      <c r="Y73" s="740">
        <v>10</v>
      </c>
      <c r="Z73" s="741">
        <v>40</v>
      </c>
      <c r="AA73" s="622">
        <v>0</v>
      </c>
      <c r="AB73" s="622">
        <v>50</v>
      </c>
      <c r="AC73" s="740">
        <v>5.2</v>
      </c>
      <c r="AD73" s="741">
        <v>5.4</v>
      </c>
      <c r="AQ73" s="16"/>
    </row>
    <row r="74" spans="2:43">
      <c r="B74" s="671" t="s">
        <v>2293</v>
      </c>
      <c r="C74" s="127" t="s">
        <v>1174</v>
      </c>
      <c r="D74" s="622" t="s">
        <v>2161</v>
      </c>
      <c r="E74" s="740">
        <v>1.048</v>
      </c>
      <c r="F74" s="741">
        <v>1.0580000000000001</v>
      </c>
      <c r="G74" s="740">
        <v>1.01</v>
      </c>
      <c r="H74" s="741">
        <v>1.014</v>
      </c>
      <c r="I74" s="740">
        <v>4.8</v>
      </c>
      <c r="J74" s="741">
        <v>5.8</v>
      </c>
      <c r="K74" s="740">
        <v>20</v>
      </c>
      <c r="L74" s="741">
        <v>35</v>
      </c>
      <c r="M74" s="740">
        <v>18</v>
      </c>
      <c r="N74" s="741">
        <v>30</v>
      </c>
      <c r="O74" s="740">
        <v>0.7</v>
      </c>
      <c r="P74" s="741">
        <v>1.2</v>
      </c>
      <c r="Q74" s="740">
        <v>20</v>
      </c>
      <c r="R74" s="741">
        <v>50</v>
      </c>
      <c r="S74" s="740">
        <v>0</v>
      </c>
      <c r="T74" s="741">
        <v>40</v>
      </c>
      <c r="U74" s="740">
        <v>40</v>
      </c>
      <c r="V74" s="741">
        <v>80</v>
      </c>
      <c r="W74" s="740">
        <v>5</v>
      </c>
      <c r="X74" s="741">
        <v>20</v>
      </c>
      <c r="Y74" s="740">
        <v>10</v>
      </c>
      <c r="Z74" s="741">
        <v>30</v>
      </c>
      <c r="AA74" s="622">
        <v>0</v>
      </c>
      <c r="AB74" s="622">
        <v>50</v>
      </c>
      <c r="AC74" s="740">
        <v>5.2</v>
      </c>
      <c r="AD74" s="741">
        <v>5.4</v>
      </c>
      <c r="AQ74" s="16"/>
    </row>
    <row r="75" spans="2:43">
      <c r="B75" s="671" t="s">
        <v>2294</v>
      </c>
      <c r="C75" s="127" t="s">
        <v>2227</v>
      </c>
      <c r="D75" s="622" t="s">
        <v>2180</v>
      </c>
      <c r="E75" s="740">
        <v>1.044</v>
      </c>
      <c r="F75" s="741">
        <v>1.048</v>
      </c>
      <c r="G75" s="740">
        <v>1.008</v>
      </c>
      <c r="H75" s="741">
        <v>1.012</v>
      </c>
      <c r="I75" s="740">
        <v>4.7</v>
      </c>
      <c r="J75" s="741">
        <v>5.4</v>
      </c>
      <c r="K75" s="740">
        <v>16</v>
      </c>
      <c r="L75" s="741">
        <v>22</v>
      </c>
      <c r="M75" s="740">
        <v>3</v>
      </c>
      <c r="N75" s="741">
        <v>5</v>
      </c>
      <c r="O75" s="740">
        <v>0.8</v>
      </c>
      <c r="P75" s="741">
        <v>1.2</v>
      </c>
      <c r="Q75" s="740">
        <v>40</v>
      </c>
      <c r="R75" s="741">
        <v>80</v>
      </c>
      <c r="S75" s="740">
        <v>0</v>
      </c>
      <c r="T75" s="741">
        <v>75</v>
      </c>
      <c r="U75" s="740">
        <v>30</v>
      </c>
      <c r="V75" s="741">
        <v>70</v>
      </c>
      <c r="W75" s="740">
        <v>5</v>
      </c>
      <c r="X75" s="741">
        <v>15</v>
      </c>
      <c r="Y75" s="740">
        <v>0</v>
      </c>
      <c r="Z75" s="741">
        <v>20</v>
      </c>
      <c r="AA75" s="622">
        <v>0</v>
      </c>
      <c r="AB75" s="622">
        <v>75</v>
      </c>
      <c r="AC75" s="740">
        <v>5.3</v>
      </c>
      <c r="AD75" s="741">
        <v>5.5</v>
      </c>
      <c r="AQ75" s="16"/>
    </row>
    <row r="76" spans="2:43" ht="15.75">
      <c r="B76" s="671" t="s">
        <v>2295</v>
      </c>
      <c r="C76" s="19" t="s">
        <v>2227</v>
      </c>
      <c r="D76" s="622" t="s">
        <v>2165</v>
      </c>
      <c r="E76" s="651">
        <v>1.044</v>
      </c>
      <c r="F76" s="652">
        <v>1.056</v>
      </c>
      <c r="G76" s="651">
        <v>1.0089999999999999</v>
      </c>
      <c r="H76" s="652">
        <v>1.014</v>
      </c>
      <c r="I76" s="651">
        <v>4.5</v>
      </c>
      <c r="J76" s="652">
        <v>5.8</v>
      </c>
      <c r="K76" s="651">
        <v>25</v>
      </c>
      <c r="L76" s="652">
        <v>45</v>
      </c>
      <c r="M76" s="651">
        <v>3.9</v>
      </c>
      <c r="N76" s="652">
        <v>11.8</v>
      </c>
      <c r="O76" s="645">
        <v>0.6</v>
      </c>
      <c r="P76" s="646">
        <v>1.2</v>
      </c>
      <c r="Q76" s="645">
        <v>50</v>
      </c>
      <c r="R76" s="646">
        <v>100</v>
      </c>
      <c r="S76" s="645">
        <v>0</v>
      </c>
      <c r="T76" s="646">
        <v>50</v>
      </c>
      <c r="U76" s="645">
        <v>75</v>
      </c>
      <c r="V76" s="646">
        <v>150</v>
      </c>
      <c r="W76" s="645">
        <v>5</v>
      </c>
      <c r="X76" s="646">
        <v>20</v>
      </c>
      <c r="Y76" s="645">
        <v>10</v>
      </c>
      <c r="Z76" s="646">
        <v>40</v>
      </c>
      <c r="AA76" s="640">
        <v>0</v>
      </c>
      <c r="AB76" s="636">
        <v>50</v>
      </c>
      <c r="AC76" s="645">
        <v>5.2</v>
      </c>
      <c r="AD76" s="646">
        <v>5.4</v>
      </c>
      <c r="AQ76" s="16"/>
    </row>
    <row r="77" spans="2:43">
      <c r="B77" s="671" t="s">
        <v>2296</v>
      </c>
      <c r="C77" s="127" t="s">
        <v>1180</v>
      </c>
      <c r="D77" s="622" t="s">
        <v>2198</v>
      </c>
      <c r="E77" s="740">
        <v>1.05</v>
      </c>
      <c r="F77" s="741">
        <v>1.06</v>
      </c>
      <c r="G77" s="740">
        <v>1.01</v>
      </c>
      <c r="H77" s="741">
        <v>1.014</v>
      </c>
      <c r="I77" s="740">
        <v>5</v>
      </c>
      <c r="J77" s="741">
        <v>6</v>
      </c>
      <c r="K77" s="740">
        <v>25</v>
      </c>
      <c r="L77" s="741">
        <v>45</v>
      </c>
      <c r="M77" s="740">
        <v>35</v>
      </c>
      <c r="N77" s="741">
        <v>60</v>
      </c>
      <c r="O77" s="740">
        <v>0.5</v>
      </c>
      <c r="P77" s="741">
        <v>1</v>
      </c>
      <c r="Q77" s="740">
        <v>30</v>
      </c>
      <c r="R77" s="741">
        <v>60</v>
      </c>
      <c r="S77" s="740">
        <v>0</v>
      </c>
      <c r="T77" s="741">
        <v>50</v>
      </c>
      <c r="U77" s="740">
        <v>50</v>
      </c>
      <c r="V77" s="741">
        <v>100</v>
      </c>
      <c r="W77" s="740">
        <v>5</v>
      </c>
      <c r="X77" s="741">
        <v>25</v>
      </c>
      <c r="Y77" s="740">
        <v>10</v>
      </c>
      <c r="Z77" s="741">
        <v>30</v>
      </c>
      <c r="AA77" s="622">
        <v>0</v>
      </c>
      <c r="AB77" s="622">
        <v>50</v>
      </c>
      <c r="AC77" s="740">
        <v>5.2</v>
      </c>
      <c r="AD77" s="741">
        <v>5.4</v>
      </c>
      <c r="AQ77" s="16"/>
    </row>
    <row r="78" spans="2:43">
      <c r="B78" s="671" t="s">
        <v>2297</v>
      </c>
      <c r="C78" s="127" t="s">
        <v>1179</v>
      </c>
      <c r="D78" s="622" t="s">
        <v>2205</v>
      </c>
      <c r="E78" s="740">
        <v>1.0649999999999999</v>
      </c>
      <c r="F78" s="741">
        <v>1.08</v>
      </c>
      <c r="G78" s="740">
        <v>1.014</v>
      </c>
      <c r="H78" s="741">
        <v>1.018</v>
      </c>
      <c r="I78" s="740">
        <v>6.5</v>
      </c>
      <c r="J78" s="741">
        <v>8</v>
      </c>
      <c r="K78" s="740">
        <v>25</v>
      </c>
      <c r="L78" s="741">
        <v>45</v>
      </c>
      <c r="M78" s="740">
        <v>25</v>
      </c>
      <c r="N78" s="741">
        <v>50</v>
      </c>
      <c r="O78" s="740">
        <v>0.6</v>
      </c>
      <c r="P78" s="741">
        <v>1.2</v>
      </c>
      <c r="Q78" s="740">
        <v>40</v>
      </c>
      <c r="R78" s="741">
        <v>80</v>
      </c>
      <c r="S78" s="740">
        <v>0</v>
      </c>
      <c r="T78" s="741">
        <v>50</v>
      </c>
      <c r="U78" s="740">
        <v>60</v>
      </c>
      <c r="V78" s="741">
        <v>120</v>
      </c>
      <c r="W78" s="740">
        <v>5</v>
      </c>
      <c r="X78" s="741">
        <v>25</v>
      </c>
      <c r="Y78" s="740">
        <v>10</v>
      </c>
      <c r="Z78" s="741">
        <v>40</v>
      </c>
      <c r="AA78" s="622">
        <v>0</v>
      </c>
      <c r="AB78" s="622">
        <v>50</v>
      </c>
      <c r="AC78" s="740">
        <v>5.2</v>
      </c>
      <c r="AD78" s="741">
        <v>5.4</v>
      </c>
      <c r="AQ78" s="16"/>
    </row>
    <row r="79" spans="2:43">
      <c r="B79" s="671" t="s">
        <v>2298</v>
      </c>
      <c r="C79" s="127" t="s">
        <v>1183</v>
      </c>
      <c r="D79" s="622" t="s">
        <v>2139</v>
      </c>
      <c r="E79" s="740">
        <v>1.0349999999999999</v>
      </c>
      <c r="F79" s="741">
        <v>1.044</v>
      </c>
      <c r="G79" s="740">
        <v>1.008</v>
      </c>
      <c r="H79" s="741">
        <v>1.012</v>
      </c>
      <c r="I79" s="740">
        <v>3.5</v>
      </c>
      <c r="J79" s="741">
        <v>4.4000000000000004</v>
      </c>
      <c r="K79" s="740">
        <v>20</v>
      </c>
      <c r="L79" s="741">
        <v>30</v>
      </c>
      <c r="M79" s="740">
        <v>12</v>
      </c>
      <c r="N79" s="741">
        <v>20</v>
      </c>
      <c r="O79" s="740">
        <v>0.5</v>
      </c>
      <c r="P79" s="741">
        <v>1</v>
      </c>
      <c r="Q79" s="740">
        <v>20</v>
      </c>
      <c r="R79" s="741">
        <v>50</v>
      </c>
      <c r="S79" s="740">
        <v>0</v>
      </c>
      <c r="T79" s="741">
        <v>40</v>
      </c>
      <c r="U79" s="740">
        <v>40</v>
      </c>
      <c r="V79" s="741">
        <v>80</v>
      </c>
      <c r="W79" s="740">
        <v>5</v>
      </c>
      <c r="X79" s="741">
        <v>20</v>
      </c>
      <c r="Y79" s="740">
        <v>5</v>
      </c>
      <c r="Z79" s="741">
        <v>20</v>
      </c>
      <c r="AA79" s="622">
        <v>0</v>
      </c>
      <c r="AB79" s="622">
        <v>50</v>
      </c>
      <c r="AC79" s="740">
        <v>5.2</v>
      </c>
      <c r="AD79" s="741">
        <v>5.4</v>
      </c>
      <c r="AQ79" s="16"/>
    </row>
    <row r="80" spans="2:43">
      <c r="B80" s="671" t="s">
        <v>2299</v>
      </c>
      <c r="C80" s="670" t="s">
        <v>1177</v>
      </c>
      <c r="D80" s="622" t="s">
        <v>2191</v>
      </c>
      <c r="E80" s="740">
        <v>1.0449999999999999</v>
      </c>
      <c r="F80" s="741">
        <v>1.06</v>
      </c>
      <c r="G80" s="740">
        <v>1.008</v>
      </c>
      <c r="H80" s="741">
        <v>1.012</v>
      </c>
      <c r="I80" s="740">
        <v>4.5</v>
      </c>
      <c r="J80" s="741">
        <v>6</v>
      </c>
      <c r="K80" s="740">
        <v>10</v>
      </c>
      <c r="L80" s="741">
        <v>25</v>
      </c>
      <c r="M80" s="740">
        <v>15</v>
      </c>
      <c r="N80" s="741">
        <v>30</v>
      </c>
      <c r="O80" s="740">
        <v>0.4</v>
      </c>
      <c r="P80" s="741">
        <v>0.8</v>
      </c>
      <c r="Q80" s="740">
        <v>10</v>
      </c>
      <c r="R80" s="741">
        <v>40</v>
      </c>
      <c r="S80" s="740">
        <v>0</v>
      </c>
      <c r="T80" s="741">
        <v>30</v>
      </c>
      <c r="U80" s="740">
        <v>40</v>
      </c>
      <c r="V80" s="741">
        <v>90</v>
      </c>
      <c r="W80" s="740">
        <v>5</v>
      </c>
      <c r="X80" s="741">
        <v>20</v>
      </c>
      <c r="Y80" s="740">
        <v>0</v>
      </c>
      <c r="Z80" s="741">
        <v>20</v>
      </c>
      <c r="AA80" s="622">
        <v>0</v>
      </c>
      <c r="AB80" s="622">
        <v>30</v>
      </c>
      <c r="AC80" s="740">
        <v>3.2</v>
      </c>
      <c r="AD80" s="741">
        <v>3.6</v>
      </c>
      <c r="AQ80" s="16"/>
    </row>
    <row r="81" spans="2:43">
      <c r="B81" s="671" t="s">
        <v>2300</v>
      </c>
      <c r="C81" s="127" t="s">
        <v>1173</v>
      </c>
      <c r="D81" s="622" t="s">
        <v>2151</v>
      </c>
      <c r="E81" s="740">
        <v>1.054</v>
      </c>
      <c r="F81" s="741">
        <v>1.0640000000000001</v>
      </c>
      <c r="G81" s="740">
        <v>1.012</v>
      </c>
      <c r="H81" s="741">
        <v>1.016</v>
      </c>
      <c r="I81" s="740">
        <v>5.4</v>
      </c>
      <c r="J81" s="741">
        <v>6.4</v>
      </c>
      <c r="K81" s="740">
        <v>20</v>
      </c>
      <c r="L81" s="741">
        <v>30</v>
      </c>
      <c r="M81" s="740">
        <v>15</v>
      </c>
      <c r="N81" s="741">
        <v>30</v>
      </c>
      <c r="O81" s="740">
        <v>0.7</v>
      </c>
      <c r="P81" s="741">
        <v>1.2</v>
      </c>
      <c r="Q81" s="740">
        <v>30</v>
      </c>
      <c r="R81" s="741">
        <v>60</v>
      </c>
      <c r="S81" s="740">
        <v>0</v>
      </c>
      <c r="T81" s="741">
        <v>50</v>
      </c>
      <c r="U81" s="740">
        <v>50</v>
      </c>
      <c r="V81" s="741">
        <v>100</v>
      </c>
      <c r="W81" s="740">
        <v>5</v>
      </c>
      <c r="X81" s="741">
        <v>25</v>
      </c>
      <c r="Y81" s="740">
        <v>10</v>
      </c>
      <c r="Z81" s="741">
        <v>40</v>
      </c>
      <c r="AA81" s="622">
        <v>0</v>
      </c>
      <c r="AB81" s="622">
        <v>50</v>
      </c>
      <c r="AC81" s="740">
        <v>5.2</v>
      </c>
      <c r="AD81" s="741">
        <v>5.4</v>
      </c>
      <c r="AQ81" s="16"/>
    </row>
    <row r="82" spans="2:43" ht="15.75">
      <c r="B82" s="671" t="s">
        <v>2301</v>
      </c>
      <c r="C82" s="127" t="s">
        <v>1176</v>
      </c>
      <c r="D82" s="622" t="s">
        <v>2170</v>
      </c>
      <c r="E82" s="651">
        <v>1.048</v>
      </c>
      <c r="F82" s="652">
        <v>1.0649999999999999</v>
      </c>
      <c r="G82" s="651">
        <v>1.002</v>
      </c>
      <c r="H82" s="652">
        <v>1.008</v>
      </c>
      <c r="I82" s="651">
        <v>3.5</v>
      </c>
      <c r="J82" s="652">
        <v>9.5</v>
      </c>
      <c r="K82" s="651">
        <v>20</v>
      </c>
      <c r="L82" s="652">
        <v>35</v>
      </c>
      <c r="M82" s="651">
        <v>9.9</v>
      </c>
      <c r="N82" s="652">
        <v>43.5</v>
      </c>
      <c r="O82" s="645">
        <v>0.8</v>
      </c>
      <c r="P82" s="646">
        <v>1.3</v>
      </c>
      <c r="Q82" s="645">
        <v>20</v>
      </c>
      <c r="R82" s="646">
        <v>50</v>
      </c>
      <c r="S82" s="645">
        <v>0</v>
      </c>
      <c r="T82" s="646">
        <v>40</v>
      </c>
      <c r="U82" s="645">
        <v>40</v>
      </c>
      <c r="V82" s="646">
        <v>100</v>
      </c>
      <c r="W82" s="645">
        <v>5</v>
      </c>
      <c r="X82" s="646">
        <v>25</v>
      </c>
      <c r="Y82" s="645">
        <v>5</v>
      </c>
      <c r="Z82" s="646">
        <v>25</v>
      </c>
      <c r="AA82" s="640">
        <v>0</v>
      </c>
      <c r="AB82" s="636">
        <v>50</v>
      </c>
      <c r="AC82" s="645">
        <v>5.2</v>
      </c>
      <c r="AD82" s="646">
        <v>5.4</v>
      </c>
      <c r="AQ82" s="16"/>
    </row>
    <row r="83" spans="2:43">
      <c r="B83" s="671" t="s">
        <v>2302</v>
      </c>
      <c r="C83" s="127" t="s">
        <v>1174</v>
      </c>
      <c r="D83" s="622" t="s">
        <v>2160</v>
      </c>
      <c r="E83" s="740">
        <v>1.048</v>
      </c>
      <c r="F83" s="741">
        <v>1.056</v>
      </c>
      <c r="G83" s="740">
        <v>1.01</v>
      </c>
      <c r="H83" s="741">
        <v>1.014</v>
      </c>
      <c r="I83" s="740">
        <v>4.8</v>
      </c>
      <c r="J83" s="741">
        <v>5.6</v>
      </c>
      <c r="K83" s="740">
        <v>22</v>
      </c>
      <c r="L83" s="741">
        <v>35</v>
      </c>
      <c r="M83" s="740">
        <v>25</v>
      </c>
      <c r="N83" s="741">
        <v>40</v>
      </c>
      <c r="O83" s="740">
        <v>0.7</v>
      </c>
      <c r="P83" s="741">
        <v>1.2</v>
      </c>
      <c r="Q83" s="740">
        <v>30</v>
      </c>
      <c r="R83" s="741">
        <v>60</v>
      </c>
      <c r="S83" s="740">
        <v>0</v>
      </c>
      <c r="T83" s="741">
        <v>50</v>
      </c>
      <c r="U83" s="740">
        <v>50</v>
      </c>
      <c r="V83" s="741">
        <v>100</v>
      </c>
      <c r="W83" s="740">
        <v>5</v>
      </c>
      <c r="X83" s="741">
        <v>20</v>
      </c>
      <c r="Y83" s="740">
        <v>10</v>
      </c>
      <c r="Z83" s="741">
        <v>30</v>
      </c>
      <c r="AA83" s="622">
        <v>0</v>
      </c>
      <c r="AB83" s="622">
        <v>50</v>
      </c>
      <c r="AC83" s="740">
        <v>5.2</v>
      </c>
      <c r="AD83" s="741">
        <v>5.4</v>
      </c>
      <c r="AQ83" s="16"/>
    </row>
    <row r="84" spans="2:43">
      <c r="B84" s="671" t="s">
        <v>2303</v>
      </c>
      <c r="C84" s="127" t="s">
        <v>1183</v>
      </c>
      <c r="D84" s="622" t="s">
        <v>2140</v>
      </c>
      <c r="E84" s="740">
        <v>1.048</v>
      </c>
      <c r="F84" s="741">
        <v>1.056</v>
      </c>
      <c r="G84" s="740">
        <v>1.01</v>
      </c>
      <c r="H84" s="741">
        <v>1.014</v>
      </c>
      <c r="I84" s="740">
        <v>4.8</v>
      </c>
      <c r="J84" s="741">
        <v>5.6</v>
      </c>
      <c r="K84" s="740">
        <v>20</v>
      </c>
      <c r="L84" s="741">
        <v>30</v>
      </c>
      <c r="M84" s="740">
        <v>14</v>
      </c>
      <c r="N84" s="741">
        <v>28</v>
      </c>
      <c r="O84" s="740">
        <v>0.5</v>
      </c>
      <c r="P84" s="741">
        <v>1</v>
      </c>
      <c r="Q84" s="740">
        <v>30</v>
      </c>
      <c r="R84" s="741">
        <v>60</v>
      </c>
      <c r="S84" s="740">
        <v>0</v>
      </c>
      <c r="T84" s="741">
        <v>50</v>
      </c>
      <c r="U84" s="740">
        <v>50</v>
      </c>
      <c r="V84" s="741">
        <v>100</v>
      </c>
      <c r="W84" s="740">
        <v>5</v>
      </c>
      <c r="X84" s="741">
        <v>25</v>
      </c>
      <c r="Y84" s="740">
        <v>5</v>
      </c>
      <c r="Z84" s="741">
        <v>25</v>
      </c>
      <c r="AA84" s="622">
        <v>0</v>
      </c>
      <c r="AB84" s="622">
        <v>50</v>
      </c>
      <c r="AC84" s="740">
        <v>5.2</v>
      </c>
      <c r="AD84" s="741">
        <v>5.4</v>
      </c>
      <c r="AQ84" s="16"/>
    </row>
    <row r="85" spans="2:43">
      <c r="B85" s="671" t="s">
        <v>2304</v>
      </c>
      <c r="C85" s="127" t="s">
        <v>1183</v>
      </c>
      <c r="D85" s="622" t="s">
        <v>2143</v>
      </c>
      <c r="E85" s="740">
        <v>1.048</v>
      </c>
      <c r="F85" s="741">
        <v>1.056</v>
      </c>
      <c r="G85" s="740">
        <v>1.01</v>
      </c>
      <c r="H85" s="741">
        <v>1.014</v>
      </c>
      <c r="I85" s="740">
        <v>4.8</v>
      </c>
      <c r="J85" s="741">
        <v>5.6</v>
      </c>
      <c r="K85" s="740">
        <v>15</v>
      </c>
      <c r="L85" s="741">
        <v>25</v>
      </c>
      <c r="M85" s="740">
        <v>14</v>
      </c>
      <c r="N85" s="741">
        <v>28</v>
      </c>
      <c r="O85" s="740">
        <v>0.5</v>
      </c>
      <c r="P85" s="741">
        <v>1</v>
      </c>
      <c r="Q85" s="740">
        <v>30</v>
      </c>
      <c r="R85" s="741">
        <v>60</v>
      </c>
      <c r="S85" s="740">
        <v>0</v>
      </c>
      <c r="T85" s="741">
        <v>50</v>
      </c>
      <c r="U85" s="740">
        <v>50</v>
      </c>
      <c r="V85" s="741">
        <v>100</v>
      </c>
      <c r="W85" s="740">
        <v>5</v>
      </c>
      <c r="X85" s="741">
        <v>25</v>
      </c>
      <c r="Y85" s="740">
        <v>5</v>
      </c>
      <c r="Z85" s="741">
        <v>25</v>
      </c>
      <c r="AA85" s="622">
        <v>0</v>
      </c>
      <c r="AB85" s="622">
        <v>50</v>
      </c>
      <c r="AC85" s="740">
        <v>5.2</v>
      </c>
      <c r="AD85" s="741">
        <v>5.4</v>
      </c>
      <c r="AQ85" s="16"/>
    </row>
    <row r="86" spans="2:43">
      <c r="B86" s="671" t="s">
        <v>2305</v>
      </c>
      <c r="C86" s="127" t="s">
        <v>1183</v>
      </c>
      <c r="D86" s="622" t="s">
        <v>2145</v>
      </c>
      <c r="E86" s="740">
        <v>1.036</v>
      </c>
      <c r="F86" s="741">
        <v>1.044</v>
      </c>
      <c r="G86" s="740">
        <v>1.008</v>
      </c>
      <c r="H86" s="741">
        <v>1.012</v>
      </c>
      <c r="I86" s="740">
        <v>3.6</v>
      </c>
      <c r="J86" s="741">
        <v>4.4000000000000004</v>
      </c>
      <c r="K86" s="740">
        <v>10</v>
      </c>
      <c r="L86" s="741">
        <v>20</v>
      </c>
      <c r="M86" s="740">
        <v>8</v>
      </c>
      <c r="N86" s="741">
        <v>15</v>
      </c>
      <c r="O86" s="740">
        <v>0.5</v>
      </c>
      <c r="P86" s="741">
        <v>1</v>
      </c>
      <c r="Q86" s="740">
        <v>20</v>
      </c>
      <c r="R86" s="741">
        <v>40</v>
      </c>
      <c r="S86" s="740">
        <v>0</v>
      </c>
      <c r="T86" s="741">
        <v>50</v>
      </c>
      <c r="U86" s="740">
        <v>40</v>
      </c>
      <c r="V86" s="741">
        <v>80</v>
      </c>
      <c r="W86" s="740">
        <v>5</v>
      </c>
      <c r="X86" s="741">
        <v>20</v>
      </c>
      <c r="Y86" s="740">
        <v>5</v>
      </c>
      <c r="Z86" s="741">
        <v>20</v>
      </c>
      <c r="AA86" s="622">
        <v>0</v>
      </c>
      <c r="AB86" s="622">
        <v>50</v>
      </c>
      <c r="AC86" s="740">
        <v>5.2</v>
      </c>
      <c r="AD86" s="741">
        <v>5.4</v>
      </c>
      <c r="AQ86" s="16"/>
    </row>
    <row r="87" spans="2:43">
      <c r="B87" s="671" t="s">
        <v>2306</v>
      </c>
      <c r="C87" s="127" t="s">
        <v>1183</v>
      </c>
      <c r="D87" s="622" t="s">
        <v>2135</v>
      </c>
      <c r="E87" s="740">
        <v>1.048</v>
      </c>
      <c r="F87" s="741">
        <v>1.056</v>
      </c>
      <c r="G87" s="740">
        <v>1.01</v>
      </c>
      <c r="H87" s="741">
        <v>1.014</v>
      </c>
      <c r="I87" s="740">
        <v>4.8</v>
      </c>
      <c r="J87" s="741">
        <v>5.6</v>
      </c>
      <c r="K87" s="740">
        <v>35</v>
      </c>
      <c r="L87" s="741">
        <v>50</v>
      </c>
      <c r="M87" s="740">
        <v>18</v>
      </c>
      <c r="N87" s="741">
        <v>28</v>
      </c>
      <c r="O87" s="740">
        <v>0.5</v>
      </c>
      <c r="P87" s="741">
        <v>1</v>
      </c>
      <c r="Q87" s="740">
        <v>25</v>
      </c>
      <c r="R87" s="741">
        <v>60</v>
      </c>
      <c r="S87" s="740">
        <v>0</v>
      </c>
      <c r="T87" s="741">
        <v>50</v>
      </c>
      <c r="U87" s="740">
        <v>50</v>
      </c>
      <c r="V87" s="741">
        <v>100</v>
      </c>
      <c r="W87" s="740">
        <v>5</v>
      </c>
      <c r="X87" s="741">
        <v>25</v>
      </c>
      <c r="Y87" s="740">
        <v>5</v>
      </c>
      <c r="Z87" s="741">
        <v>25</v>
      </c>
      <c r="AA87" s="622">
        <v>0</v>
      </c>
      <c r="AB87" s="622">
        <v>50</v>
      </c>
      <c r="AC87" s="740">
        <v>5.2</v>
      </c>
      <c r="AD87" s="741">
        <v>5.4</v>
      </c>
      <c r="AQ87" s="16"/>
    </row>
    <row r="88" spans="2:43">
      <c r="B88" s="671" t="s">
        <v>2307</v>
      </c>
      <c r="C88" s="127" t="s">
        <v>1180</v>
      </c>
      <c r="D88" s="622" t="s">
        <v>2199</v>
      </c>
      <c r="E88" s="740">
        <v>1.048</v>
      </c>
      <c r="F88" s="741">
        <v>1.056</v>
      </c>
      <c r="G88" s="740">
        <v>1.01</v>
      </c>
      <c r="H88" s="741">
        <v>1.014</v>
      </c>
      <c r="I88" s="740">
        <v>4.8</v>
      </c>
      <c r="J88" s="741">
        <v>5.6</v>
      </c>
      <c r="K88" s="740">
        <v>20</v>
      </c>
      <c r="L88" s="741">
        <v>40</v>
      </c>
      <c r="M88" s="740">
        <v>30</v>
      </c>
      <c r="N88" s="741">
        <v>60</v>
      </c>
      <c r="O88" s="740">
        <v>0.5</v>
      </c>
      <c r="P88" s="741">
        <v>1</v>
      </c>
      <c r="Q88" s="740">
        <v>30</v>
      </c>
      <c r="R88" s="741">
        <v>60</v>
      </c>
      <c r="S88" s="740">
        <v>0</v>
      </c>
      <c r="T88" s="741">
        <v>50</v>
      </c>
      <c r="U88" s="740">
        <v>50</v>
      </c>
      <c r="V88" s="741">
        <v>100</v>
      </c>
      <c r="W88" s="740">
        <v>5</v>
      </c>
      <c r="X88" s="741">
        <v>25</v>
      </c>
      <c r="Y88" s="740">
        <v>10</v>
      </c>
      <c r="Z88" s="741">
        <v>30</v>
      </c>
      <c r="AA88" s="622">
        <v>0</v>
      </c>
      <c r="AB88" s="622">
        <v>50</v>
      </c>
      <c r="AC88" s="740">
        <v>5.2</v>
      </c>
      <c r="AD88" s="741">
        <v>5.4</v>
      </c>
      <c r="AQ88" s="16"/>
    </row>
    <row r="89" spans="2:43">
      <c r="B89" s="671" t="s">
        <v>2308</v>
      </c>
      <c r="C89" s="127" t="s">
        <v>1180</v>
      </c>
      <c r="D89" s="622" t="s">
        <v>2197</v>
      </c>
      <c r="E89" s="740">
        <v>1.052</v>
      </c>
      <c r="F89" s="741">
        <v>1.0620000000000001</v>
      </c>
      <c r="G89" s="740">
        <v>1.012</v>
      </c>
      <c r="H89" s="741">
        <v>1.016</v>
      </c>
      <c r="I89" s="740">
        <v>5.2</v>
      </c>
      <c r="J89" s="741">
        <v>6.2</v>
      </c>
      <c r="K89" s="740">
        <v>30</v>
      </c>
      <c r="L89" s="741">
        <v>50</v>
      </c>
      <c r="M89" s="740">
        <v>40</v>
      </c>
      <c r="N89" s="741">
        <v>70</v>
      </c>
      <c r="O89" s="740">
        <v>0.5</v>
      </c>
      <c r="P89" s="741">
        <v>1</v>
      </c>
      <c r="Q89" s="740">
        <v>30</v>
      </c>
      <c r="R89" s="741">
        <v>60</v>
      </c>
      <c r="S89" s="740">
        <v>0</v>
      </c>
      <c r="T89" s="741">
        <v>50</v>
      </c>
      <c r="U89" s="740">
        <v>50</v>
      </c>
      <c r="V89" s="741">
        <v>120</v>
      </c>
      <c r="W89" s="740">
        <v>5</v>
      </c>
      <c r="X89" s="741">
        <v>25</v>
      </c>
      <c r="Y89" s="740">
        <v>10</v>
      </c>
      <c r="Z89" s="741">
        <v>35</v>
      </c>
      <c r="AA89" s="622">
        <v>0</v>
      </c>
      <c r="AB89" s="622">
        <v>50</v>
      </c>
      <c r="AC89" s="740">
        <v>5.2</v>
      </c>
      <c r="AD89" s="741">
        <v>5.4</v>
      </c>
      <c r="AQ89" s="16"/>
    </row>
    <row r="90" spans="2:43">
      <c r="B90" s="671" t="s">
        <v>2309</v>
      </c>
      <c r="C90" s="127" t="s">
        <v>1173</v>
      </c>
      <c r="D90" s="622" t="s">
        <v>2150</v>
      </c>
      <c r="E90" s="740">
        <v>1.05</v>
      </c>
      <c r="F90" s="741">
        <v>1.06</v>
      </c>
      <c r="G90" s="740">
        <v>1.01</v>
      </c>
      <c r="H90" s="741">
        <v>1.014</v>
      </c>
      <c r="I90" s="740">
        <v>4.8</v>
      </c>
      <c r="J90" s="741">
        <v>5.8</v>
      </c>
      <c r="K90" s="740">
        <v>20</v>
      </c>
      <c r="L90" s="741">
        <v>35</v>
      </c>
      <c r="M90" s="740">
        <v>10</v>
      </c>
      <c r="N90" s="741">
        <v>20</v>
      </c>
      <c r="O90" s="740">
        <v>0.6</v>
      </c>
      <c r="P90" s="741">
        <v>1.2</v>
      </c>
      <c r="Q90" s="740">
        <v>20</v>
      </c>
      <c r="R90" s="741">
        <v>50</v>
      </c>
      <c r="S90" s="740">
        <v>0</v>
      </c>
      <c r="T90" s="741">
        <v>40</v>
      </c>
      <c r="U90" s="740">
        <v>40</v>
      </c>
      <c r="V90" s="741">
        <v>80</v>
      </c>
      <c r="W90" s="740">
        <v>5</v>
      </c>
      <c r="X90" s="741">
        <v>20</v>
      </c>
      <c r="Y90" s="740">
        <v>10</v>
      </c>
      <c r="Z90" s="741">
        <v>30</v>
      </c>
      <c r="AA90" s="622">
        <v>0</v>
      </c>
      <c r="AB90" s="622">
        <v>40</v>
      </c>
      <c r="AC90" s="740">
        <v>5.2</v>
      </c>
      <c r="AD90" s="741">
        <v>5.4</v>
      </c>
      <c r="AQ90" s="16"/>
    </row>
    <row r="91" spans="2:43">
      <c r="B91" s="671" t="s">
        <v>2310</v>
      </c>
      <c r="C91" s="127" t="s">
        <v>1179</v>
      </c>
      <c r="D91" s="622" t="s">
        <v>2207</v>
      </c>
      <c r="E91" s="740">
        <v>1.07</v>
      </c>
      <c r="F91" s="741">
        <v>1.085</v>
      </c>
      <c r="G91" s="740">
        <v>1.016</v>
      </c>
      <c r="H91" s="741">
        <v>1.02</v>
      </c>
      <c r="I91" s="740">
        <v>7</v>
      </c>
      <c r="J91" s="741">
        <v>8.5</v>
      </c>
      <c r="K91" s="740">
        <v>20</v>
      </c>
      <c r="L91" s="741">
        <v>40</v>
      </c>
      <c r="M91" s="740">
        <v>25</v>
      </c>
      <c r="N91" s="741">
        <v>50</v>
      </c>
      <c r="O91" s="740">
        <v>0.6</v>
      </c>
      <c r="P91" s="741">
        <v>1.2</v>
      </c>
      <c r="Q91" s="740">
        <v>40</v>
      </c>
      <c r="R91" s="741">
        <v>80</v>
      </c>
      <c r="S91" s="740">
        <v>0</v>
      </c>
      <c r="T91" s="741">
        <v>50</v>
      </c>
      <c r="U91" s="740">
        <v>60</v>
      </c>
      <c r="V91" s="741">
        <v>150</v>
      </c>
      <c r="W91" s="740">
        <v>5</v>
      </c>
      <c r="X91" s="741">
        <v>25</v>
      </c>
      <c r="Y91" s="740">
        <v>10</v>
      </c>
      <c r="Z91" s="741">
        <v>40</v>
      </c>
      <c r="AA91" s="622">
        <v>0</v>
      </c>
      <c r="AB91" s="622">
        <v>50</v>
      </c>
      <c r="AC91" s="740">
        <v>5.3</v>
      </c>
      <c r="AD91" s="741">
        <v>5.5</v>
      </c>
      <c r="AQ91" s="16"/>
    </row>
    <row r="92" spans="2:43" ht="15.75">
      <c r="B92" s="671" t="s">
        <v>2311</v>
      </c>
      <c r="C92" s="127" t="s">
        <v>1178</v>
      </c>
      <c r="D92" s="622" t="s">
        <v>2216</v>
      </c>
      <c r="E92" s="651">
        <v>1.044</v>
      </c>
      <c r="F92" s="652">
        <v>1.0529999999999999</v>
      </c>
      <c r="G92" s="651">
        <v>1.008</v>
      </c>
      <c r="H92" s="652">
        <v>1.014</v>
      </c>
      <c r="I92" s="651">
        <v>4.3</v>
      </c>
      <c r="J92" s="652">
        <v>5.6</v>
      </c>
      <c r="K92" s="651">
        <v>8</v>
      </c>
      <c r="L92" s="652">
        <v>15</v>
      </c>
      <c r="M92" s="651">
        <v>3.5</v>
      </c>
      <c r="N92" s="652">
        <v>12</v>
      </c>
      <c r="O92" s="645">
        <v>0.5</v>
      </c>
      <c r="P92" s="646">
        <v>1</v>
      </c>
      <c r="Q92" s="645">
        <v>20</v>
      </c>
      <c r="R92" s="646">
        <v>50</v>
      </c>
      <c r="S92" s="645">
        <v>0</v>
      </c>
      <c r="T92" s="646">
        <v>40</v>
      </c>
      <c r="U92" s="645">
        <v>50</v>
      </c>
      <c r="V92" s="646">
        <v>100</v>
      </c>
      <c r="W92" s="645">
        <v>5</v>
      </c>
      <c r="X92" s="646">
        <v>20</v>
      </c>
      <c r="Y92" s="645">
        <v>0</v>
      </c>
      <c r="Z92" s="646">
        <v>20</v>
      </c>
      <c r="AA92" s="640">
        <v>0</v>
      </c>
      <c r="AB92" s="636">
        <v>50</v>
      </c>
      <c r="AC92" s="645">
        <v>5.2</v>
      </c>
      <c r="AD92" s="646">
        <v>5.4</v>
      </c>
      <c r="AQ92" s="16"/>
    </row>
    <row r="93" spans="2:43">
      <c r="B93" s="671" t="s">
        <v>2312</v>
      </c>
      <c r="C93" s="127" t="s">
        <v>1178</v>
      </c>
      <c r="D93" s="622" t="s">
        <v>2213</v>
      </c>
      <c r="E93" s="740">
        <v>1.06</v>
      </c>
      <c r="F93" s="741">
        <v>1.075</v>
      </c>
      <c r="G93" s="740">
        <v>1.012</v>
      </c>
      <c r="H93" s="741">
        <v>1.016</v>
      </c>
      <c r="I93" s="740">
        <v>6</v>
      </c>
      <c r="J93" s="741">
        <v>7.5</v>
      </c>
      <c r="K93" s="740">
        <v>15</v>
      </c>
      <c r="L93" s="741">
        <v>30</v>
      </c>
      <c r="M93" s="740">
        <v>15</v>
      </c>
      <c r="N93" s="741">
        <v>30</v>
      </c>
      <c r="O93" s="740">
        <v>0.5</v>
      </c>
      <c r="P93" s="741">
        <v>1</v>
      </c>
      <c r="Q93" s="740">
        <v>25</v>
      </c>
      <c r="R93" s="741">
        <v>50</v>
      </c>
      <c r="S93" s="740">
        <v>0</v>
      </c>
      <c r="T93" s="741">
        <v>50</v>
      </c>
      <c r="U93" s="740">
        <v>50</v>
      </c>
      <c r="V93" s="741">
        <v>120</v>
      </c>
      <c r="W93" s="740">
        <v>5</v>
      </c>
      <c r="X93" s="741">
        <v>25</v>
      </c>
      <c r="Y93" s="740">
        <v>0</v>
      </c>
      <c r="Z93" s="741">
        <v>25</v>
      </c>
      <c r="AA93" s="622">
        <v>0</v>
      </c>
      <c r="AB93" s="622">
        <v>50</v>
      </c>
      <c r="AC93" s="740">
        <v>5.2</v>
      </c>
      <c r="AD93" s="741">
        <v>5.4</v>
      </c>
      <c r="AQ93" s="16"/>
    </row>
    <row r="94" spans="2:43">
      <c r="B94" s="671" t="s">
        <v>2313</v>
      </c>
      <c r="C94" s="127" t="s">
        <v>1179</v>
      </c>
      <c r="D94" s="622" t="s">
        <v>2203</v>
      </c>
      <c r="E94" s="740">
        <v>1.08</v>
      </c>
      <c r="F94" s="741">
        <v>1.1100000000000001</v>
      </c>
      <c r="G94" s="740">
        <v>1.018</v>
      </c>
      <c r="H94" s="741">
        <v>1.022</v>
      </c>
      <c r="I94" s="740">
        <v>8</v>
      </c>
      <c r="J94" s="741">
        <v>12</v>
      </c>
      <c r="K94" s="740">
        <v>30</v>
      </c>
      <c r="L94" s="741">
        <v>60</v>
      </c>
      <c r="M94" s="740">
        <v>20</v>
      </c>
      <c r="N94" s="741">
        <v>40</v>
      </c>
      <c r="O94" s="740">
        <v>0.6</v>
      </c>
      <c r="P94" s="741">
        <v>1.2</v>
      </c>
      <c r="Q94" s="740">
        <v>50</v>
      </c>
      <c r="R94" s="741">
        <v>120</v>
      </c>
      <c r="S94" s="740">
        <v>0</v>
      </c>
      <c r="T94" s="741">
        <v>50</v>
      </c>
      <c r="U94" s="740">
        <v>80</v>
      </c>
      <c r="V94" s="741">
        <v>160</v>
      </c>
      <c r="W94" s="740">
        <v>5</v>
      </c>
      <c r="X94" s="741">
        <v>30</v>
      </c>
      <c r="Y94" s="740">
        <v>10</v>
      </c>
      <c r="Z94" s="741">
        <v>50</v>
      </c>
      <c r="AA94" s="622">
        <v>0</v>
      </c>
      <c r="AB94" s="622">
        <v>60</v>
      </c>
      <c r="AC94" s="740">
        <v>5.3</v>
      </c>
      <c r="AD94" s="741">
        <v>5.5</v>
      </c>
      <c r="AQ94" s="16"/>
    </row>
    <row r="95" spans="2:43" ht="15.75">
      <c r="B95" s="671" t="s">
        <v>2314</v>
      </c>
      <c r="C95" s="127" t="s">
        <v>1178</v>
      </c>
      <c r="D95" s="622" t="s">
        <v>2217</v>
      </c>
      <c r="E95" s="651">
        <v>1.044</v>
      </c>
      <c r="F95" s="652">
        <v>1.052</v>
      </c>
      <c r="G95" s="651">
        <v>1.008</v>
      </c>
      <c r="H95" s="652">
        <v>1.012</v>
      </c>
      <c r="I95" s="651">
        <v>4.4000000000000004</v>
      </c>
      <c r="J95" s="652">
        <v>5.6</v>
      </c>
      <c r="K95" s="651">
        <v>8</v>
      </c>
      <c r="L95" s="652">
        <v>20</v>
      </c>
      <c r="M95" s="651">
        <v>4</v>
      </c>
      <c r="N95" s="652">
        <v>8</v>
      </c>
      <c r="O95" s="645">
        <v>0.5</v>
      </c>
      <c r="P95" s="646">
        <v>1</v>
      </c>
      <c r="Q95" s="645">
        <v>20</v>
      </c>
      <c r="R95" s="646">
        <v>40</v>
      </c>
      <c r="S95" s="645">
        <v>0</v>
      </c>
      <c r="T95" s="646">
        <v>30</v>
      </c>
      <c r="U95" s="645">
        <v>40</v>
      </c>
      <c r="V95" s="646">
        <v>80</v>
      </c>
      <c r="W95" s="645">
        <v>5</v>
      </c>
      <c r="X95" s="646">
        <v>20</v>
      </c>
      <c r="Y95" s="645">
        <v>0</v>
      </c>
      <c r="Z95" s="646">
        <v>20</v>
      </c>
      <c r="AA95" s="640">
        <v>0</v>
      </c>
      <c r="AB95" s="636">
        <v>30</v>
      </c>
      <c r="AC95" s="645">
        <v>5.2</v>
      </c>
      <c r="AD95" s="646">
        <v>5.4</v>
      </c>
      <c r="AQ95" s="16"/>
    </row>
    <row r="96" spans="2:43" ht="15.75">
      <c r="B96" s="671" t="s">
        <v>2226</v>
      </c>
      <c r="C96" s="19" t="s">
        <v>1155</v>
      </c>
      <c r="D96" s="622" t="s">
        <v>2164</v>
      </c>
      <c r="E96" s="651">
        <v>1.06</v>
      </c>
      <c r="F96" s="652">
        <v>1.085</v>
      </c>
      <c r="G96" s="651">
        <v>1.01</v>
      </c>
      <c r="H96" s="652">
        <v>1.0149999999999999</v>
      </c>
      <c r="I96" s="651">
        <v>6</v>
      </c>
      <c r="J96" s="652">
        <v>9</v>
      </c>
      <c r="K96" s="651">
        <v>25</v>
      </c>
      <c r="L96" s="652">
        <v>60</v>
      </c>
      <c r="M96" s="651">
        <v>5.9</v>
      </c>
      <c r="N96" s="652">
        <v>13.8</v>
      </c>
      <c r="O96" s="645">
        <v>1.5</v>
      </c>
      <c r="P96" s="646">
        <v>3</v>
      </c>
      <c r="Q96" s="645">
        <v>150</v>
      </c>
      <c r="R96" s="646">
        <v>250</v>
      </c>
      <c r="S96" s="645">
        <v>0</v>
      </c>
      <c r="T96" s="646">
        <v>50</v>
      </c>
      <c r="U96" s="645">
        <v>50</v>
      </c>
      <c r="V96" s="646">
        <v>100</v>
      </c>
      <c r="W96" s="645">
        <v>5</v>
      </c>
      <c r="X96" s="646">
        <v>20</v>
      </c>
      <c r="Y96" s="645">
        <v>10</v>
      </c>
      <c r="Z96" s="646">
        <v>30</v>
      </c>
      <c r="AA96" s="640">
        <v>0</v>
      </c>
      <c r="AB96" s="636">
        <v>50</v>
      </c>
      <c r="AC96" s="645">
        <v>5.2</v>
      </c>
      <c r="AD96" s="646">
        <v>5.4</v>
      </c>
      <c r="AQ96" s="16"/>
    </row>
    <row r="97" spans="3:43">
      <c r="C97" s="16"/>
      <c r="E97" s="742"/>
      <c r="F97" s="743"/>
      <c r="G97" s="742"/>
      <c r="H97" s="743"/>
      <c r="I97" s="742"/>
      <c r="J97" s="743"/>
      <c r="K97" s="742"/>
      <c r="L97" s="743"/>
      <c r="M97" s="742"/>
      <c r="N97" s="743"/>
      <c r="O97" s="742"/>
      <c r="P97" s="743"/>
      <c r="Q97" s="742"/>
      <c r="R97" s="743"/>
      <c r="S97" s="742"/>
      <c r="T97" s="743"/>
      <c r="U97" s="742"/>
      <c r="V97" s="743"/>
      <c r="W97" s="742"/>
      <c r="X97" s="743"/>
      <c r="Y97" s="742"/>
      <c r="Z97" s="743"/>
      <c r="AA97" s="16"/>
      <c r="AB97" s="16"/>
      <c r="AC97" s="742"/>
      <c r="AD97" s="743"/>
      <c r="AQ97" s="16"/>
    </row>
    <row r="98" spans="3:43">
      <c r="C98" s="16"/>
      <c r="E98" s="742"/>
      <c r="F98" s="743"/>
      <c r="G98" s="742"/>
      <c r="H98" s="743"/>
      <c r="I98" s="742"/>
      <c r="J98" s="743"/>
      <c r="K98" s="742"/>
      <c r="L98" s="743"/>
      <c r="M98" s="742"/>
      <c r="N98" s="743"/>
      <c r="O98" s="742"/>
      <c r="P98" s="743"/>
      <c r="Q98" s="742"/>
      <c r="R98" s="743"/>
      <c r="S98" s="742"/>
      <c r="T98" s="743"/>
      <c r="U98" s="742"/>
      <c r="V98" s="743"/>
      <c r="W98" s="742"/>
      <c r="X98" s="743"/>
      <c r="Y98" s="742"/>
      <c r="Z98" s="743"/>
      <c r="AA98" s="16"/>
      <c r="AB98" s="16"/>
      <c r="AC98" s="742"/>
      <c r="AD98" s="743"/>
      <c r="AQ98" s="16"/>
    </row>
    <row r="99" spans="3:43">
      <c r="C99" s="16"/>
      <c r="E99" s="742"/>
      <c r="F99" s="743"/>
      <c r="G99" s="742"/>
      <c r="H99" s="743"/>
      <c r="I99" s="742"/>
      <c r="J99" s="743"/>
      <c r="K99" s="742"/>
      <c r="L99" s="743"/>
      <c r="M99" s="742"/>
      <c r="N99" s="743"/>
      <c r="O99" s="742"/>
      <c r="P99" s="743"/>
      <c r="Q99" s="742"/>
      <c r="R99" s="743"/>
      <c r="S99" s="742"/>
      <c r="T99" s="743"/>
      <c r="U99" s="742"/>
      <c r="V99" s="743"/>
      <c r="W99" s="742"/>
      <c r="X99" s="743"/>
      <c r="Y99" s="742"/>
      <c r="Z99" s="743"/>
      <c r="AA99" s="16"/>
      <c r="AB99" s="16"/>
      <c r="AC99" s="742"/>
      <c r="AD99" s="743"/>
      <c r="AQ99" s="16"/>
    </row>
    <row r="100" spans="3:43">
      <c r="C100" s="16"/>
      <c r="E100" s="742"/>
      <c r="F100" s="743"/>
      <c r="G100" s="742"/>
      <c r="H100" s="743"/>
      <c r="I100" s="742"/>
      <c r="J100" s="743"/>
      <c r="K100" s="742"/>
      <c r="L100" s="743"/>
      <c r="M100" s="742"/>
      <c r="N100" s="743"/>
      <c r="O100" s="742"/>
      <c r="P100" s="743"/>
      <c r="Q100" s="742"/>
      <c r="R100" s="743"/>
      <c r="S100" s="742"/>
      <c r="T100" s="743"/>
      <c r="U100" s="742"/>
      <c r="V100" s="743"/>
      <c r="W100" s="742"/>
      <c r="X100" s="743"/>
      <c r="Y100" s="742"/>
      <c r="Z100" s="743"/>
      <c r="AA100" s="16"/>
      <c r="AB100" s="16"/>
      <c r="AC100" s="742"/>
      <c r="AD100" s="743"/>
      <c r="AQ100" s="16"/>
    </row>
    <row r="101" spans="3:43">
      <c r="C101" s="16"/>
      <c r="E101" s="742"/>
      <c r="F101" s="743"/>
      <c r="G101" s="742"/>
      <c r="H101" s="743"/>
      <c r="I101" s="742"/>
      <c r="J101" s="743"/>
      <c r="K101" s="742"/>
      <c r="L101" s="743"/>
      <c r="M101" s="742"/>
      <c r="N101" s="743"/>
      <c r="O101" s="742"/>
      <c r="P101" s="743"/>
      <c r="Q101" s="742"/>
      <c r="R101" s="743"/>
      <c r="S101" s="742"/>
      <c r="T101" s="743"/>
      <c r="U101" s="742"/>
      <c r="V101" s="743"/>
      <c r="W101" s="742"/>
      <c r="X101" s="743"/>
      <c r="Y101" s="742"/>
      <c r="Z101" s="743"/>
      <c r="AA101" s="16"/>
      <c r="AB101" s="16"/>
      <c r="AC101" s="742"/>
      <c r="AD101" s="743"/>
      <c r="AQ101" s="16"/>
    </row>
    <row r="102" spans="3:43">
      <c r="C102" s="16"/>
      <c r="E102" s="742"/>
      <c r="F102" s="743"/>
      <c r="G102" s="742"/>
      <c r="H102" s="743"/>
      <c r="I102" s="742"/>
      <c r="J102" s="743"/>
      <c r="K102" s="742"/>
      <c r="L102" s="743"/>
      <c r="M102" s="742"/>
      <c r="N102" s="743"/>
      <c r="O102" s="742"/>
      <c r="P102" s="743"/>
      <c r="Q102" s="742"/>
      <c r="R102" s="743"/>
      <c r="S102" s="742"/>
      <c r="T102" s="743"/>
      <c r="U102" s="742"/>
      <c r="V102" s="743"/>
      <c r="W102" s="742"/>
      <c r="X102" s="743"/>
      <c r="Y102" s="742"/>
      <c r="Z102" s="743"/>
      <c r="AA102" s="16"/>
      <c r="AB102" s="16"/>
      <c r="AC102" s="742"/>
      <c r="AD102" s="743"/>
      <c r="AQ102" s="16"/>
    </row>
    <row r="103" spans="3:43">
      <c r="C103" s="16"/>
      <c r="E103" s="742"/>
      <c r="F103" s="743"/>
      <c r="G103" s="742"/>
      <c r="H103" s="743"/>
      <c r="I103" s="742"/>
      <c r="J103" s="743"/>
      <c r="K103" s="742"/>
      <c r="L103" s="743"/>
      <c r="M103" s="742"/>
      <c r="N103" s="743"/>
      <c r="O103" s="742"/>
      <c r="P103" s="743"/>
      <c r="Q103" s="742"/>
      <c r="R103" s="743"/>
      <c r="S103" s="742"/>
      <c r="T103" s="743"/>
      <c r="U103" s="742"/>
      <c r="V103" s="743"/>
      <c r="W103" s="742"/>
      <c r="X103" s="743"/>
      <c r="Y103" s="742"/>
      <c r="Z103" s="743"/>
      <c r="AA103" s="16"/>
      <c r="AB103" s="16"/>
      <c r="AC103" s="742"/>
      <c r="AD103" s="743"/>
      <c r="AQ103" s="16"/>
    </row>
    <row r="104" spans="3:43">
      <c r="C104" s="16"/>
      <c r="E104" s="742"/>
      <c r="F104" s="743"/>
      <c r="G104" s="742"/>
      <c r="H104" s="743"/>
      <c r="I104" s="742"/>
      <c r="J104" s="743"/>
      <c r="K104" s="742"/>
      <c r="L104" s="743"/>
      <c r="M104" s="742"/>
      <c r="N104" s="743"/>
      <c r="O104" s="742"/>
      <c r="P104" s="743"/>
      <c r="Q104" s="742"/>
      <c r="R104" s="743"/>
      <c r="S104" s="742"/>
      <c r="T104" s="743"/>
      <c r="U104" s="742"/>
      <c r="V104" s="743"/>
      <c r="W104" s="742"/>
      <c r="X104" s="743"/>
      <c r="Y104" s="742"/>
      <c r="Z104" s="743"/>
      <c r="AA104" s="16"/>
      <c r="AB104" s="16"/>
      <c r="AC104" s="742"/>
      <c r="AD104" s="743"/>
      <c r="AQ104" s="16"/>
    </row>
    <row r="105" spans="3:43">
      <c r="C105" s="16"/>
      <c r="E105" s="742"/>
      <c r="F105" s="743"/>
      <c r="G105" s="742"/>
      <c r="H105" s="743"/>
      <c r="I105" s="742"/>
      <c r="J105" s="743"/>
      <c r="K105" s="742"/>
      <c r="L105" s="743"/>
      <c r="M105" s="742"/>
      <c r="N105" s="743"/>
      <c r="O105" s="742"/>
      <c r="P105" s="743"/>
      <c r="Q105" s="742"/>
      <c r="R105" s="743"/>
      <c r="S105" s="742"/>
      <c r="T105" s="743"/>
      <c r="U105" s="742"/>
      <c r="V105" s="743"/>
      <c r="W105" s="742"/>
      <c r="X105" s="743"/>
      <c r="Y105" s="742"/>
      <c r="Z105" s="743"/>
      <c r="AA105" s="16"/>
      <c r="AB105" s="16"/>
      <c r="AC105" s="742"/>
      <c r="AD105" s="743"/>
      <c r="AQ105" s="16"/>
    </row>
    <row r="106" spans="3:43">
      <c r="C106" s="16"/>
      <c r="E106" s="742"/>
      <c r="F106" s="743"/>
      <c r="G106" s="742"/>
      <c r="H106" s="743"/>
      <c r="I106" s="742"/>
      <c r="J106" s="743"/>
      <c r="K106" s="742"/>
      <c r="L106" s="743"/>
      <c r="M106" s="742"/>
      <c r="N106" s="743"/>
      <c r="O106" s="742"/>
      <c r="P106" s="743"/>
      <c r="Q106" s="742"/>
      <c r="R106" s="743"/>
      <c r="S106" s="742"/>
      <c r="T106" s="743"/>
      <c r="U106" s="742"/>
      <c r="V106" s="743"/>
      <c r="W106" s="742"/>
      <c r="X106" s="743"/>
      <c r="Y106" s="742"/>
      <c r="Z106" s="743"/>
      <c r="AA106" s="16"/>
      <c r="AB106" s="16"/>
      <c r="AC106" s="742"/>
      <c r="AD106" s="743"/>
      <c r="AQ106" s="16"/>
    </row>
    <row r="107" spans="3:43">
      <c r="C107" s="16"/>
      <c r="E107" s="742"/>
      <c r="F107" s="743"/>
      <c r="G107" s="742"/>
      <c r="H107" s="743"/>
      <c r="I107" s="742"/>
      <c r="J107" s="743"/>
      <c r="K107" s="742"/>
      <c r="L107" s="743"/>
      <c r="M107" s="742"/>
      <c r="N107" s="743"/>
      <c r="O107" s="742"/>
      <c r="P107" s="743"/>
      <c r="Q107" s="742"/>
      <c r="R107" s="743"/>
      <c r="S107" s="742"/>
      <c r="T107" s="743"/>
      <c r="U107" s="742"/>
      <c r="V107" s="743"/>
      <c r="W107" s="742"/>
      <c r="X107" s="743"/>
      <c r="Y107" s="742"/>
      <c r="Z107" s="743"/>
      <c r="AA107" s="16"/>
      <c r="AB107" s="16"/>
      <c r="AC107" s="742"/>
      <c r="AD107" s="743"/>
      <c r="AQ107" s="16"/>
    </row>
    <row r="108" spans="3:43">
      <c r="C108" s="16"/>
      <c r="E108" s="742"/>
      <c r="F108" s="743"/>
      <c r="G108" s="742"/>
      <c r="H108" s="743"/>
      <c r="I108" s="742"/>
      <c r="J108" s="743"/>
      <c r="K108" s="742"/>
      <c r="L108" s="743"/>
      <c r="M108" s="742"/>
      <c r="N108" s="743"/>
      <c r="O108" s="742"/>
      <c r="P108" s="743"/>
      <c r="Q108" s="742"/>
      <c r="R108" s="743"/>
      <c r="S108" s="742"/>
      <c r="T108" s="743"/>
      <c r="U108" s="742"/>
      <c r="V108" s="743"/>
      <c r="W108" s="742"/>
      <c r="X108" s="743"/>
      <c r="Y108" s="742"/>
      <c r="Z108" s="743"/>
      <c r="AA108" s="16"/>
      <c r="AB108" s="16"/>
      <c r="AC108" s="742"/>
      <c r="AD108" s="743"/>
      <c r="AQ108" s="16"/>
    </row>
    <row r="109" spans="3:43">
      <c r="C109" s="16"/>
      <c r="E109" s="647"/>
      <c r="F109" s="648"/>
      <c r="G109" s="647"/>
      <c r="H109" s="648"/>
      <c r="I109" s="647"/>
      <c r="J109" s="648"/>
      <c r="K109" s="647"/>
      <c r="L109" s="648"/>
      <c r="M109" s="647"/>
      <c r="N109" s="648"/>
      <c r="O109" s="647"/>
      <c r="P109" s="648"/>
      <c r="Q109" s="647"/>
      <c r="R109" s="648"/>
      <c r="S109" s="647"/>
      <c r="T109" s="648"/>
      <c r="U109" s="647"/>
      <c r="V109" s="648"/>
      <c r="W109" s="647"/>
      <c r="X109" s="648"/>
      <c r="Y109" s="647"/>
      <c r="Z109" s="648"/>
      <c r="AA109" s="641"/>
      <c r="AB109" s="637"/>
      <c r="AC109" s="647"/>
      <c r="AD109" s="648"/>
      <c r="AQ109" s="16"/>
    </row>
    <row r="110" spans="3:43">
      <c r="C110" s="16"/>
      <c r="E110" s="647"/>
      <c r="F110" s="648"/>
      <c r="G110" s="647"/>
      <c r="H110" s="648"/>
      <c r="I110" s="647"/>
      <c r="J110" s="648"/>
      <c r="K110" s="647"/>
      <c r="L110" s="648"/>
      <c r="M110" s="647"/>
      <c r="N110" s="648"/>
      <c r="O110" s="647"/>
      <c r="P110" s="648"/>
      <c r="Q110" s="647"/>
      <c r="R110" s="648"/>
      <c r="S110" s="647"/>
      <c r="T110" s="648"/>
      <c r="U110" s="647"/>
      <c r="V110" s="648"/>
      <c r="W110" s="647"/>
      <c r="X110" s="648"/>
      <c r="Y110" s="647"/>
      <c r="Z110" s="648"/>
      <c r="AA110" s="641"/>
      <c r="AB110" s="637"/>
      <c r="AC110" s="647"/>
      <c r="AD110" s="648"/>
      <c r="AQ110" s="16"/>
    </row>
    <row r="111" spans="3:43">
      <c r="C111" s="16"/>
      <c r="E111" s="647"/>
      <c r="F111" s="648"/>
      <c r="G111" s="647"/>
      <c r="H111" s="648"/>
      <c r="I111" s="647"/>
      <c r="J111" s="648"/>
      <c r="K111" s="647"/>
      <c r="L111" s="648"/>
      <c r="M111" s="647"/>
      <c r="N111" s="648"/>
      <c r="O111" s="647"/>
      <c r="P111" s="648"/>
      <c r="Q111" s="647"/>
      <c r="R111" s="648"/>
      <c r="S111" s="647"/>
      <c r="T111" s="648"/>
      <c r="U111" s="647"/>
      <c r="V111" s="648"/>
      <c r="W111" s="647"/>
      <c r="X111" s="648"/>
      <c r="Y111" s="647"/>
      <c r="Z111" s="648"/>
      <c r="AA111" s="641"/>
      <c r="AB111" s="637"/>
      <c r="AC111" s="647"/>
      <c r="AD111" s="648"/>
      <c r="AQ111" s="16"/>
    </row>
    <row r="112" spans="3:43">
      <c r="C112" s="16"/>
      <c r="E112" s="647"/>
      <c r="F112" s="648"/>
      <c r="G112" s="647"/>
      <c r="H112" s="648"/>
      <c r="I112" s="647"/>
      <c r="J112" s="648"/>
      <c r="K112" s="647"/>
      <c r="L112" s="648"/>
      <c r="M112" s="647"/>
      <c r="N112" s="648"/>
      <c r="O112" s="647"/>
      <c r="P112" s="648"/>
      <c r="Q112" s="647"/>
      <c r="R112" s="648"/>
      <c r="S112" s="647"/>
      <c r="T112" s="648"/>
      <c r="U112" s="647"/>
      <c r="V112" s="648"/>
      <c r="W112" s="647"/>
      <c r="X112" s="648"/>
      <c r="Y112" s="647"/>
      <c r="Z112" s="648"/>
      <c r="AA112" s="641"/>
      <c r="AB112" s="637"/>
      <c r="AC112" s="647"/>
      <c r="AD112" s="648"/>
      <c r="AQ112" s="16"/>
    </row>
    <row r="113" spans="3:43">
      <c r="C113" s="16"/>
      <c r="E113" s="647"/>
      <c r="F113" s="648"/>
      <c r="G113" s="647"/>
      <c r="H113" s="648"/>
      <c r="I113" s="647"/>
      <c r="J113" s="648"/>
      <c r="K113" s="647"/>
      <c r="L113" s="648"/>
      <c r="M113" s="647"/>
      <c r="N113" s="648"/>
      <c r="O113" s="647"/>
      <c r="P113" s="648"/>
      <c r="Q113" s="647"/>
      <c r="R113" s="648"/>
      <c r="S113" s="647"/>
      <c r="T113" s="648"/>
      <c r="U113" s="647"/>
      <c r="V113" s="648"/>
      <c r="W113" s="647"/>
      <c r="X113" s="648"/>
      <c r="Y113" s="647"/>
      <c r="Z113" s="648"/>
      <c r="AA113" s="641"/>
      <c r="AB113" s="637"/>
      <c r="AC113" s="647"/>
      <c r="AD113" s="648"/>
      <c r="AQ113" s="16"/>
    </row>
    <row r="114" spans="3:43">
      <c r="C114" s="16"/>
      <c r="E114" s="647"/>
      <c r="F114" s="648"/>
      <c r="G114" s="647"/>
      <c r="H114" s="648"/>
      <c r="I114" s="647"/>
      <c r="J114" s="648"/>
      <c r="K114" s="647"/>
      <c r="L114" s="648"/>
      <c r="M114" s="647"/>
      <c r="N114" s="648"/>
      <c r="O114" s="647"/>
      <c r="P114" s="648"/>
      <c r="Q114" s="647"/>
      <c r="R114" s="648"/>
      <c r="S114" s="647"/>
      <c r="T114" s="648"/>
      <c r="U114" s="647"/>
      <c r="V114" s="648"/>
      <c r="W114" s="647"/>
      <c r="X114" s="648"/>
      <c r="Y114" s="647"/>
      <c r="Z114" s="648"/>
      <c r="AA114" s="641"/>
      <c r="AB114" s="637"/>
      <c r="AC114" s="647"/>
      <c r="AD114" s="648"/>
      <c r="AQ114" s="16"/>
    </row>
    <row r="115" spans="3:43">
      <c r="C115" s="16"/>
      <c r="E115" s="647"/>
      <c r="F115" s="648"/>
      <c r="G115" s="647"/>
      <c r="H115" s="648"/>
      <c r="I115" s="647"/>
      <c r="J115" s="648"/>
      <c r="K115" s="647"/>
      <c r="L115" s="648"/>
      <c r="M115" s="647"/>
      <c r="N115" s="648"/>
      <c r="O115" s="647"/>
      <c r="P115" s="648"/>
      <c r="Q115" s="647"/>
      <c r="R115" s="648"/>
      <c r="S115" s="647"/>
      <c r="T115" s="648"/>
      <c r="U115" s="647"/>
      <c r="V115" s="648"/>
      <c r="W115" s="647"/>
      <c r="X115" s="648"/>
      <c r="Y115" s="647"/>
      <c r="Z115" s="648"/>
      <c r="AA115" s="641"/>
      <c r="AB115" s="637"/>
      <c r="AC115" s="647"/>
      <c r="AD115" s="648"/>
      <c r="AQ115" s="16"/>
    </row>
    <row r="116" spans="3:43">
      <c r="C116" s="16"/>
      <c r="E116" s="647"/>
      <c r="F116" s="648"/>
      <c r="G116" s="647"/>
      <c r="H116" s="648"/>
      <c r="I116" s="647"/>
      <c r="J116" s="648"/>
      <c r="K116" s="647"/>
      <c r="L116" s="648"/>
      <c r="M116" s="647"/>
      <c r="N116" s="648"/>
      <c r="O116" s="647"/>
      <c r="P116" s="648"/>
      <c r="Q116" s="647"/>
      <c r="R116" s="648"/>
      <c r="S116" s="647"/>
      <c r="T116" s="648"/>
      <c r="U116" s="647"/>
      <c r="V116" s="648"/>
      <c r="W116" s="647"/>
      <c r="X116" s="648"/>
      <c r="Y116" s="647"/>
      <c r="Z116" s="648"/>
      <c r="AA116" s="641"/>
      <c r="AB116" s="637"/>
      <c r="AC116" s="647"/>
      <c r="AD116" s="648"/>
      <c r="AQ116" s="16"/>
    </row>
    <row r="117" spans="3:43">
      <c r="C117" s="16"/>
      <c r="E117" s="647"/>
      <c r="F117" s="648"/>
      <c r="G117" s="647"/>
      <c r="H117" s="648"/>
      <c r="I117" s="647"/>
      <c r="J117" s="648"/>
      <c r="K117" s="647"/>
      <c r="L117" s="648"/>
      <c r="M117" s="647"/>
      <c r="N117" s="648"/>
      <c r="O117" s="647"/>
      <c r="P117" s="648"/>
      <c r="Q117" s="647"/>
      <c r="R117" s="648"/>
      <c r="S117" s="647"/>
      <c r="T117" s="648"/>
      <c r="U117" s="647"/>
      <c r="V117" s="648"/>
      <c r="W117" s="647"/>
      <c r="X117" s="648"/>
      <c r="Y117" s="647"/>
      <c r="Z117" s="648"/>
      <c r="AA117" s="641"/>
      <c r="AB117" s="637"/>
      <c r="AC117" s="647"/>
      <c r="AD117" s="648"/>
      <c r="AQ117" s="16"/>
    </row>
    <row r="118" spans="3:43">
      <c r="C118" s="16"/>
      <c r="E118" s="647"/>
      <c r="F118" s="648"/>
      <c r="G118" s="647"/>
      <c r="H118" s="648"/>
      <c r="I118" s="647"/>
      <c r="J118" s="648"/>
      <c r="K118" s="647"/>
      <c r="L118" s="648"/>
      <c r="M118" s="647"/>
      <c r="N118" s="648"/>
      <c r="O118" s="647"/>
      <c r="P118" s="648"/>
      <c r="Q118" s="647"/>
      <c r="R118" s="648"/>
      <c r="S118" s="647"/>
      <c r="T118" s="648"/>
      <c r="U118" s="647"/>
      <c r="V118" s="648"/>
      <c r="W118" s="647"/>
      <c r="X118" s="648"/>
      <c r="Y118" s="647"/>
      <c r="Z118" s="648"/>
      <c r="AA118" s="641"/>
      <c r="AB118" s="637"/>
      <c r="AC118" s="647"/>
      <c r="AD118" s="648"/>
      <c r="AQ118" s="16"/>
    </row>
    <row r="119" spans="3:43">
      <c r="C119" s="16"/>
      <c r="E119" s="647"/>
      <c r="F119" s="648"/>
      <c r="G119" s="647"/>
      <c r="H119" s="648"/>
      <c r="I119" s="647"/>
      <c r="J119" s="648"/>
      <c r="K119" s="647"/>
      <c r="L119" s="648"/>
      <c r="M119" s="647"/>
      <c r="N119" s="648"/>
      <c r="O119" s="647"/>
      <c r="P119" s="648"/>
      <c r="Q119" s="647"/>
      <c r="R119" s="648"/>
      <c r="S119" s="647"/>
      <c r="T119" s="648"/>
      <c r="U119" s="647"/>
      <c r="V119" s="648"/>
      <c r="W119" s="647"/>
      <c r="X119" s="648"/>
      <c r="Y119" s="647"/>
      <c r="Z119" s="648"/>
      <c r="AA119" s="641"/>
      <c r="AB119" s="637"/>
      <c r="AC119" s="647"/>
      <c r="AD119" s="648"/>
      <c r="AQ119" s="16"/>
    </row>
    <row r="120" spans="3:43">
      <c r="C120" s="16"/>
      <c r="E120" s="647"/>
      <c r="F120" s="648"/>
      <c r="G120" s="647"/>
      <c r="H120" s="648"/>
      <c r="I120" s="647"/>
      <c r="J120" s="648"/>
      <c r="K120" s="647"/>
      <c r="L120" s="648"/>
      <c r="M120" s="647"/>
      <c r="N120" s="648"/>
      <c r="O120" s="647"/>
      <c r="P120" s="648"/>
      <c r="Q120" s="647"/>
      <c r="R120" s="648"/>
      <c r="S120" s="647"/>
      <c r="T120" s="648"/>
      <c r="U120" s="647"/>
      <c r="V120" s="648"/>
      <c r="W120" s="647"/>
      <c r="X120" s="648"/>
      <c r="Y120" s="647"/>
      <c r="Z120" s="648"/>
      <c r="AA120" s="641"/>
      <c r="AB120" s="637"/>
      <c r="AC120" s="647"/>
      <c r="AD120" s="648"/>
      <c r="AQ120" s="16"/>
    </row>
    <row r="121" spans="3:43">
      <c r="C121" s="16"/>
      <c r="E121" s="647"/>
      <c r="F121" s="648"/>
      <c r="G121" s="647"/>
      <c r="H121" s="648"/>
      <c r="I121" s="647"/>
      <c r="J121" s="648"/>
      <c r="K121" s="647"/>
      <c r="L121" s="648"/>
      <c r="M121" s="647"/>
      <c r="N121" s="648"/>
      <c r="O121" s="647"/>
      <c r="P121" s="648"/>
      <c r="Q121" s="647"/>
      <c r="R121" s="648"/>
      <c r="S121" s="647"/>
      <c r="T121" s="648"/>
      <c r="U121" s="647"/>
      <c r="V121" s="648"/>
      <c r="W121" s="647"/>
      <c r="X121" s="648"/>
      <c r="Y121" s="647"/>
      <c r="Z121" s="648"/>
      <c r="AA121" s="641"/>
      <c r="AB121" s="637"/>
      <c r="AC121" s="647"/>
      <c r="AD121" s="648"/>
      <c r="AQ121" s="16"/>
    </row>
    <row r="122" spans="3:43">
      <c r="C122" s="16"/>
      <c r="E122" s="647"/>
      <c r="F122" s="648"/>
      <c r="G122" s="647"/>
      <c r="H122" s="648"/>
      <c r="I122" s="647"/>
      <c r="J122" s="648"/>
      <c r="K122" s="647"/>
      <c r="L122" s="648"/>
      <c r="M122" s="647"/>
      <c r="N122" s="648"/>
      <c r="O122" s="647"/>
      <c r="P122" s="648"/>
      <c r="Q122" s="647"/>
      <c r="R122" s="648"/>
      <c r="S122" s="647"/>
      <c r="T122" s="648"/>
      <c r="U122" s="647"/>
      <c r="V122" s="648"/>
      <c r="W122" s="647"/>
      <c r="X122" s="648"/>
      <c r="Y122" s="647"/>
      <c r="Z122" s="648"/>
      <c r="AA122" s="641"/>
      <c r="AB122" s="637"/>
      <c r="AC122" s="647"/>
      <c r="AD122" s="648"/>
      <c r="AQ122" s="16"/>
    </row>
    <row r="123" spans="3:43">
      <c r="C123" s="16"/>
      <c r="E123" s="647"/>
      <c r="F123" s="648"/>
      <c r="G123" s="647"/>
      <c r="H123" s="648"/>
      <c r="I123" s="647"/>
      <c r="J123" s="648"/>
      <c r="K123" s="647"/>
      <c r="L123" s="648"/>
      <c r="M123" s="647"/>
      <c r="N123" s="648"/>
      <c r="O123" s="647"/>
      <c r="P123" s="648"/>
      <c r="Q123" s="647"/>
      <c r="R123" s="648"/>
      <c r="S123" s="647"/>
      <c r="T123" s="648"/>
      <c r="U123" s="647"/>
      <c r="V123" s="648"/>
      <c r="W123" s="647"/>
      <c r="X123" s="648"/>
      <c r="Y123" s="647"/>
      <c r="Z123" s="648"/>
      <c r="AA123" s="641"/>
      <c r="AB123" s="637"/>
      <c r="AC123" s="647"/>
      <c r="AD123" s="648"/>
      <c r="AQ123" s="16"/>
    </row>
    <row r="124" spans="3:43">
      <c r="C124" s="16"/>
      <c r="E124" s="647"/>
      <c r="F124" s="648"/>
      <c r="G124" s="647"/>
      <c r="H124" s="648"/>
      <c r="I124" s="647"/>
      <c r="J124" s="648"/>
      <c r="K124" s="647"/>
      <c r="L124" s="648"/>
      <c r="M124" s="647"/>
      <c r="N124" s="648"/>
      <c r="O124" s="647"/>
      <c r="P124" s="648"/>
      <c r="Q124" s="647"/>
      <c r="R124" s="648"/>
      <c r="S124" s="647"/>
      <c r="T124" s="648"/>
      <c r="U124" s="647"/>
      <c r="V124" s="648"/>
      <c r="W124" s="647"/>
      <c r="X124" s="648"/>
      <c r="Y124" s="647"/>
      <c r="Z124" s="648"/>
      <c r="AA124" s="641"/>
      <c r="AB124" s="637"/>
      <c r="AC124" s="647"/>
      <c r="AD124" s="648"/>
      <c r="AQ124" s="16"/>
    </row>
    <row r="125" spans="3:43">
      <c r="C125" s="16"/>
      <c r="E125" s="647"/>
      <c r="F125" s="648"/>
      <c r="G125" s="647"/>
      <c r="H125" s="648"/>
      <c r="I125" s="647"/>
      <c r="J125" s="648"/>
      <c r="K125" s="647"/>
      <c r="L125" s="648"/>
      <c r="M125" s="647"/>
      <c r="N125" s="648"/>
      <c r="O125" s="647"/>
      <c r="P125" s="648"/>
      <c r="Q125" s="647"/>
      <c r="R125" s="648"/>
      <c r="S125" s="647"/>
      <c r="T125" s="648"/>
      <c r="U125" s="647"/>
      <c r="V125" s="648"/>
      <c r="W125" s="647"/>
      <c r="X125" s="648"/>
      <c r="Y125" s="647"/>
      <c r="Z125" s="648"/>
      <c r="AA125" s="641"/>
      <c r="AB125" s="637"/>
      <c r="AC125" s="647"/>
      <c r="AD125" s="648"/>
      <c r="AQ125" s="16"/>
    </row>
    <row r="126" spans="3:43">
      <c r="C126" s="16"/>
      <c r="E126" s="647"/>
      <c r="F126" s="648"/>
      <c r="G126" s="647"/>
      <c r="H126" s="648"/>
      <c r="I126" s="647"/>
      <c r="J126" s="648"/>
      <c r="K126" s="647"/>
      <c r="L126" s="648"/>
      <c r="M126" s="647"/>
      <c r="N126" s="648"/>
      <c r="O126" s="647"/>
      <c r="P126" s="648"/>
      <c r="Q126" s="647"/>
      <c r="R126" s="648"/>
      <c r="S126" s="647"/>
      <c r="T126" s="648"/>
      <c r="U126" s="647"/>
      <c r="V126" s="648"/>
      <c r="W126" s="647"/>
      <c r="X126" s="648"/>
      <c r="Y126" s="647"/>
      <c r="Z126" s="648"/>
      <c r="AA126" s="641"/>
      <c r="AB126" s="637"/>
      <c r="AC126" s="647"/>
      <c r="AD126" s="648"/>
      <c r="AQ126" s="16"/>
    </row>
    <row r="127" spans="3:43">
      <c r="C127" s="16"/>
      <c r="E127" s="647"/>
      <c r="F127" s="648"/>
      <c r="G127" s="647"/>
      <c r="H127" s="648"/>
      <c r="I127" s="647"/>
      <c r="J127" s="648"/>
      <c r="K127" s="647"/>
      <c r="L127" s="648"/>
      <c r="M127" s="647"/>
      <c r="N127" s="648"/>
      <c r="O127" s="647"/>
      <c r="P127" s="648"/>
      <c r="Q127" s="647"/>
      <c r="R127" s="648"/>
      <c r="S127" s="647"/>
      <c r="T127" s="648"/>
      <c r="U127" s="647"/>
      <c r="V127" s="648"/>
      <c r="W127" s="647"/>
      <c r="X127" s="648"/>
      <c r="Y127" s="647"/>
      <c r="Z127" s="648"/>
      <c r="AA127" s="641"/>
      <c r="AB127" s="637"/>
      <c r="AC127" s="647"/>
      <c r="AD127" s="648"/>
      <c r="AQ127" s="16"/>
    </row>
    <row r="128" spans="3:43">
      <c r="C128" s="16"/>
      <c r="E128" s="647"/>
      <c r="F128" s="648"/>
      <c r="G128" s="647"/>
      <c r="H128" s="648"/>
      <c r="I128" s="647"/>
      <c r="J128" s="648"/>
      <c r="K128" s="647"/>
      <c r="L128" s="648"/>
      <c r="M128" s="647"/>
      <c r="N128" s="648"/>
      <c r="O128" s="647"/>
      <c r="P128" s="648"/>
      <c r="Q128" s="647"/>
      <c r="R128" s="648"/>
      <c r="S128" s="647"/>
      <c r="T128" s="648"/>
      <c r="U128" s="647"/>
      <c r="V128" s="648"/>
      <c r="W128" s="647"/>
      <c r="X128" s="648"/>
      <c r="Y128" s="647"/>
      <c r="Z128" s="648"/>
      <c r="AA128" s="641"/>
      <c r="AB128" s="637"/>
      <c r="AC128" s="647"/>
      <c r="AD128" s="648"/>
      <c r="AQ128" s="16"/>
    </row>
    <row r="129" spans="3:43">
      <c r="C129" s="16"/>
      <c r="E129" s="647"/>
      <c r="F129" s="648"/>
      <c r="G129" s="647"/>
      <c r="H129" s="648"/>
      <c r="I129" s="647"/>
      <c r="J129" s="648"/>
      <c r="K129" s="647"/>
      <c r="L129" s="648"/>
      <c r="M129" s="647"/>
      <c r="N129" s="648"/>
      <c r="O129" s="647"/>
      <c r="P129" s="648"/>
      <c r="Q129" s="647"/>
      <c r="R129" s="648"/>
      <c r="S129" s="647"/>
      <c r="T129" s="648"/>
      <c r="U129" s="647"/>
      <c r="V129" s="648"/>
      <c r="W129" s="647"/>
      <c r="X129" s="648"/>
      <c r="Y129" s="647"/>
      <c r="Z129" s="648"/>
      <c r="AA129" s="641"/>
      <c r="AB129" s="637"/>
      <c r="AC129" s="647"/>
      <c r="AD129" s="648"/>
      <c r="AQ129" s="16"/>
    </row>
    <row r="130" spans="3:43">
      <c r="C130" s="16"/>
      <c r="E130" s="647"/>
      <c r="F130" s="648"/>
      <c r="G130" s="647"/>
      <c r="H130" s="648"/>
      <c r="I130" s="647"/>
      <c r="J130" s="648"/>
      <c r="K130" s="647"/>
      <c r="L130" s="648"/>
      <c r="M130" s="647"/>
      <c r="N130" s="648"/>
      <c r="O130" s="647"/>
      <c r="P130" s="648"/>
      <c r="Q130" s="647"/>
      <c r="R130" s="648"/>
      <c r="S130" s="647"/>
      <c r="T130" s="648"/>
      <c r="U130" s="647"/>
      <c r="V130" s="648"/>
      <c r="W130" s="647"/>
      <c r="X130" s="648"/>
      <c r="Y130" s="647"/>
      <c r="Z130" s="648"/>
      <c r="AA130" s="641"/>
      <c r="AB130" s="637"/>
      <c r="AC130" s="647"/>
      <c r="AD130" s="648"/>
      <c r="AQ130" s="16"/>
    </row>
  </sheetData>
  <dataConsolidate link="1"/>
  <mergeCells count="17">
    <mergeCell ref="O4:AB4"/>
    <mergeCell ref="K4:L4"/>
    <mergeCell ref="E4:J4"/>
    <mergeCell ref="M4:N4"/>
    <mergeCell ref="Q5:R5"/>
    <mergeCell ref="S5:T5"/>
    <mergeCell ref="U5:V5"/>
    <mergeCell ref="W5:X5"/>
    <mergeCell ref="Y5:Z5"/>
    <mergeCell ref="AA5:AB5"/>
    <mergeCell ref="AC5:AD5"/>
    <mergeCell ref="E5:F5"/>
    <mergeCell ref="G5:H5"/>
    <mergeCell ref="I5:J5"/>
    <mergeCell ref="K5:L5"/>
    <mergeCell ref="M5:N5"/>
    <mergeCell ref="O5:P5"/>
  </mergeCells>
  <phoneticPr fontId="30" type="noConversion"/>
  <pageMargins left="0.7" right="0.7" top="0.75" bottom="0.75" header="0.3" footer="0.3"/>
  <drawing r:id="rId1"/>
  <legacyDrawing r:id="rId2"/>
  <tableParts count="1">
    <tablePart r:id="rId3"/>
  </tablePart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A8469C-F649-4522-9581-EECEC9AF92C1}">
  <dimension ref="A1:V45"/>
  <sheetViews>
    <sheetView zoomScale="70" zoomScaleNormal="70" workbookViewId="0">
      <selection sqref="A1:R1"/>
    </sheetView>
  </sheetViews>
  <sheetFormatPr baseColWidth="10" defaultRowHeight="15"/>
  <cols>
    <col min="13" max="13" width="13.5703125" customWidth="1"/>
  </cols>
  <sheetData>
    <row r="1" spans="1:22" ht="26.25" thickBot="1">
      <c r="A1" s="1275" t="s">
        <v>683</v>
      </c>
      <c r="B1" s="1276"/>
      <c r="C1" s="1276"/>
      <c r="D1" s="1276"/>
      <c r="E1" s="1276"/>
      <c r="F1" s="1276"/>
      <c r="G1" s="1276"/>
      <c r="H1" s="1276"/>
      <c r="I1" s="1276"/>
      <c r="J1" s="1276"/>
      <c r="K1" s="1276"/>
      <c r="L1" s="1276"/>
      <c r="M1" s="1276"/>
      <c r="N1" s="1276"/>
      <c r="O1" s="1276"/>
      <c r="P1" s="1276"/>
      <c r="Q1" s="1276"/>
      <c r="R1" s="1277"/>
    </row>
    <row r="2" spans="1:22">
      <c r="A2" s="19"/>
      <c r="B2" s="19"/>
      <c r="C2" s="19"/>
      <c r="D2" s="19"/>
      <c r="E2" s="19"/>
      <c r="F2" s="19"/>
      <c r="G2" s="19"/>
      <c r="H2" s="19"/>
      <c r="I2" s="19"/>
      <c r="J2" s="19"/>
      <c r="K2" s="19"/>
      <c r="L2" s="19"/>
      <c r="M2" s="19"/>
      <c r="N2" s="19"/>
      <c r="O2" s="19"/>
      <c r="P2" s="19"/>
      <c r="Q2" s="19"/>
      <c r="R2" s="19"/>
    </row>
    <row r="3" spans="1:22" ht="18.75">
      <c r="A3" s="19"/>
      <c r="E3" s="19"/>
      <c r="F3" s="1279" t="s">
        <v>684</v>
      </c>
      <c r="G3" s="1279"/>
      <c r="H3" s="1279"/>
      <c r="I3" s="1279"/>
      <c r="J3" s="1279"/>
      <c r="K3" s="1279"/>
      <c r="L3" s="19"/>
      <c r="M3" s="1280" t="s">
        <v>610</v>
      </c>
      <c r="N3" s="1280"/>
      <c r="O3" s="1280"/>
      <c r="P3" s="1280"/>
      <c r="Q3" s="1280"/>
      <c r="R3" s="1280"/>
    </row>
    <row r="4" spans="1:22" ht="18">
      <c r="A4" s="19"/>
      <c r="E4" s="19"/>
      <c r="F4" s="58" t="s">
        <v>685</v>
      </c>
      <c r="G4" s="59">
        <v>1.04</v>
      </c>
      <c r="H4" s="111" t="s">
        <v>686</v>
      </c>
      <c r="I4" s="111" t="s">
        <v>687</v>
      </c>
      <c r="J4" s="111" t="s">
        <v>688</v>
      </c>
      <c r="K4" s="112" t="s">
        <v>689</v>
      </c>
      <c r="L4" s="19"/>
      <c r="M4" s="61" t="s">
        <v>690</v>
      </c>
      <c r="N4" s="1281">
        <v>22</v>
      </c>
      <c r="O4" s="1282"/>
      <c r="P4" s="1283" t="s">
        <v>691</v>
      </c>
      <c r="Q4" s="1283"/>
      <c r="R4" s="109">
        <v>1.05</v>
      </c>
    </row>
    <row r="5" spans="1:22">
      <c r="A5" s="19"/>
      <c r="E5" s="19"/>
      <c r="F5" s="1272" t="s">
        <v>604</v>
      </c>
      <c r="G5" s="1272"/>
      <c r="H5" s="105">
        <v>1.1000000000000001</v>
      </c>
      <c r="I5" s="62">
        <f>1 + I6/ ( 258.6 - 0.8796 * I6)/1.04</f>
        <v>1.093960607715458</v>
      </c>
      <c r="J5" s="105">
        <v>1.07</v>
      </c>
      <c r="K5" s="62">
        <f>(1+(K6/1.04)/(258.6-0.8796*(K6/1.04)))</f>
        <v>1.0428923439456168</v>
      </c>
      <c r="L5" s="19"/>
      <c r="M5" s="63"/>
      <c r="N5" s="64"/>
      <c r="O5" s="65"/>
      <c r="P5" s="65"/>
      <c r="Q5" s="65"/>
      <c r="R5" s="66"/>
    </row>
    <row r="6" spans="1:22">
      <c r="A6" s="19"/>
      <c r="E6" s="19"/>
      <c r="F6" s="1272" t="s">
        <v>692</v>
      </c>
      <c r="G6" s="1272"/>
      <c r="H6" s="67">
        <f xml:space="preserve"> (-616.868 + 1111.14 * H5- 630.272 * H5^ 2+135.997 *H5^3)*1.04</f>
        <v>24.71964247999998</v>
      </c>
      <c r="I6" s="107">
        <v>23.27</v>
      </c>
      <c r="J6" s="67">
        <f xml:space="preserve"> (-616.868 + 1111.14 * J5- 630.272 * J5^ 2+135.997 *J5^3)*1.04</f>
        <v>17.737782473839975</v>
      </c>
      <c r="K6" s="67">
        <f>(1+(0.00349412/1.04)*K8-K7)*(1.04/0.000856829)</f>
        <v>11.116243731246303</v>
      </c>
      <c r="L6" s="19"/>
      <c r="M6" s="61" t="s">
        <v>649</v>
      </c>
      <c r="N6" s="68" t="s">
        <v>650</v>
      </c>
      <c r="O6" s="69" t="s">
        <v>588</v>
      </c>
      <c r="P6" s="69" t="s">
        <v>647</v>
      </c>
      <c r="Q6" s="69" t="s">
        <v>633</v>
      </c>
      <c r="R6" s="70" t="s">
        <v>693</v>
      </c>
    </row>
    <row r="7" spans="1:22" ht="18.75">
      <c r="A7" s="19"/>
      <c r="B7" s="1278" t="s">
        <v>631</v>
      </c>
      <c r="C7" s="1278"/>
      <c r="D7" s="1278"/>
      <c r="E7" s="19"/>
      <c r="F7" s="1272" t="s">
        <v>606</v>
      </c>
      <c r="G7" s="1272"/>
      <c r="H7" s="62">
        <f>H10</f>
        <v>1.0115515706283693</v>
      </c>
      <c r="I7" s="62">
        <f>I10</f>
        <v>1.0127458934326923</v>
      </c>
      <c r="J7" s="105">
        <v>1.04</v>
      </c>
      <c r="K7" s="108">
        <v>1.0109999999999999</v>
      </c>
      <c r="L7" s="19"/>
      <c r="M7" s="137" t="s">
        <v>863</v>
      </c>
      <c r="N7" s="239">
        <f>IFERROR(VLOOKUP(M7,INGREDIENTS!$R$6:$U$151,4,FALSE), "")</f>
        <v>8.3000000000000004E-2</v>
      </c>
      <c r="O7" s="137" t="s">
        <v>599</v>
      </c>
      <c r="P7" s="138">
        <v>60</v>
      </c>
      <c r="Q7" s="139">
        <v>100</v>
      </c>
      <c r="R7" s="159">
        <f>IFERROR((VLOOKUP(O7,INGREDIENTS!$AA$6:$AB$14,2,FALSE))*((1.65*(0.000125^($R$4-1))*((1-EXP(-0.04*P7))/4.15))*N7*Q7*1000)/($N$4),"")</f>
        <v>21.755816377092302</v>
      </c>
    </row>
    <row r="8" spans="1:22">
      <c r="A8" s="19"/>
      <c r="B8" s="88">
        <v>1.1000000000000001</v>
      </c>
      <c r="C8" s="56">
        <f xml:space="preserve"> -616.868 + 1111.14 * B8- 630.272 * B8^ 2+ 135.997 *B8^3</f>
        <v>23.768886999999978</v>
      </c>
      <c r="D8" s="57">
        <f>C8*1.04</f>
        <v>24.71964247999998</v>
      </c>
      <c r="E8" s="19"/>
      <c r="F8" s="1272" t="s">
        <v>694</v>
      </c>
      <c r="G8" s="1272"/>
      <c r="H8" s="106">
        <v>9.5</v>
      </c>
      <c r="I8" s="106">
        <v>9.5</v>
      </c>
      <c r="J8" s="71">
        <f>(J7-1+(0.000856829/1.04)*J6)*1.04/0.00349412</f>
        <v>16.255379442972156</v>
      </c>
      <c r="K8" s="106">
        <v>6</v>
      </c>
      <c r="L8" s="19"/>
      <c r="M8" s="137"/>
      <c r="N8" s="239" t="str">
        <f>IFERROR(VLOOKUP(M8,INGREDIENTS!$R$6:$U$151,4,FALSE), "")</f>
        <v/>
      </c>
      <c r="O8" s="137"/>
      <c r="P8" s="138"/>
      <c r="Q8" s="139"/>
      <c r="R8" s="159" t="str">
        <f>IFERROR((VLOOKUP(O8,INGREDIENTS!$AA$6:$AB$14,2,FALSE))*((1.65*(0.000125^($R$4-1))*((1-EXP(-0.04*P8))/4.15))*N8*Q8*1000)/($N$4),"")</f>
        <v/>
      </c>
    </row>
    <row r="9" spans="1:22">
      <c r="A9" s="19"/>
      <c r="B9" s="89">
        <v>4</v>
      </c>
      <c r="C9" s="55">
        <f>1 + B9/ ( 258.6 - 0.8796 * B9)</f>
        <v>1.0156812565077213</v>
      </c>
      <c r="D9" s="57">
        <f>C9*1.04</f>
        <v>1.0563085067680302</v>
      </c>
      <c r="E9" s="19"/>
      <c r="F9" s="1272" t="s">
        <v>695</v>
      </c>
      <c r="G9" s="1272"/>
      <c r="H9" s="62">
        <f>IF(H8=0, "XXX", 1 - 0.0044993*(H6/1.04) + 0.0117741*(H8/1.04) + 0.000275806*(H6/1.04)^2 - 0.00127169*(H8/1.04)^2 - 0.00000727999*(H6/1.04)^3 + 0.0000632929*(H8/1.04)^3)</f>
        <v>1.0007994650513461</v>
      </c>
      <c r="I9" s="62">
        <f>IF(I8=0, "XXX", 1 - 0.0044993*(I6/1.04) + 0.0117741*(I8/1.04) + 0.000275806*(I6/1.04)^2 - 0.00127169*(I8/1.04)^2 - 0.00000727999*(I6/1.04)^3 + 0.0000632929*(I8/1.04)^3)</f>
        <v>1.0055412032330608</v>
      </c>
      <c r="J9" s="62">
        <f>IF(J8=0, "XXX", 1 - 0.0044993*(J6/1.04) + 0.0117741*(J8/1.04) + 0.000275806*(J6/1.04)^2 - 0.00127169*(J8/1.04)^2 - 0.00000727999*(J6/1.04)^3 + 0.0000632929*(J8/1.04)^3)</f>
        <v>1.0824108402839585</v>
      </c>
      <c r="K9" s="62">
        <f>IF(K8=0, "XXX", 1 - 0.0044993*(K6/1.04) + 0.0117741*(K8/1.04) + 0.000275806*(K6/1.04)^2 - 0.00127169*(K8/1.04)^2 - 0.00000727999*(K6/1.04)^3 + 0.0000632929*(K8/1.04)^3)</f>
        <v>1.0122828758969449</v>
      </c>
      <c r="L9" s="19"/>
      <c r="M9" s="137"/>
      <c r="N9" s="239" t="str">
        <f>IFERROR(VLOOKUP(M9,INGREDIENTS!$R$6:$U$151,4,FALSE), "")</f>
        <v/>
      </c>
      <c r="O9" s="137"/>
      <c r="P9" s="138"/>
      <c r="Q9" s="139"/>
      <c r="R9" s="159" t="str">
        <f>IFERROR((VLOOKUP(O9,INGREDIENTS!$AA$6:$AB$14,2,FALSE))*((1.65*(0.000125^($R$4-1))*((1-EXP(-0.04*P9))/4.15))*N9*Q9*1000)/($N$4),"")</f>
        <v/>
      </c>
    </row>
    <row r="10" spans="1:22">
      <c r="A10" s="19"/>
      <c r="B10" s="90">
        <v>23.77</v>
      </c>
      <c r="C10" s="56">
        <f>B10/1.04</f>
        <v>22.85576923076923</v>
      </c>
      <c r="D10" s="55">
        <f>1 + C10/ ( 258.6 - 0.8796 * C10)</f>
        <v>1.0958328985172583</v>
      </c>
      <c r="E10" s="19"/>
      <c r="F10" s="1272" t="s">
        <v>696</v>
      </c>
      <c r="G10" s="1272"/>
      <c r="H10" s="62">
        <f>IF(H8=0, "XXX", 1 - 0.000856829*(H6/1.04) + 0.00349412*(H8/1.04))</f>
        <v>1.0115515706283693</v>
      </c>
      <c r="I10" s="62">
        <f>IF(I8=0, "XXX", 1 - 0.000856829*(I6/1.04) + 0.00349412*(I8/1.04))</f>
        <v>1.0127458934326923</v>
      </c>
      <c r="J10" s="62">
        <f>1-0.000856829*(J6/1.04)+0.00349412*(J8/1.04)</f>
        <v>1.04</v>
      </c>
      <c r="K10" s="62">
        <f>IF(K8=0, "XXX", 1 - 0.000856829*(K6/1.04) + 0.00349412*(K8/1.04))</f>
        <v>1.0109999999999999</v>
      </c>
      <c r="L10" s="19"/>
      <c r="M10" s="137"/>
      <c r="N10" s="239" t="str">
        <f>IFERROR(VLOOKUP(M10,INGREDIENTS!$R$6:$U$151,4,FALSE), "")</f>
        <v/>
      </c>
      <c r="O10" s="137"/>
      <c r="P10" s="138"/>
      <c r="Q10" s="139"/>
      <c r="R10" s="159" t="str">
        <f>IFERROR((VLOOKUP(O10,INGREDIENTS!$AA$6:$AB$14,2,FALSE))*((1.65*(0.000125^($R$4-1))*((1-EXP(-0.04*P10))/4.15))*N10*Q10*1000)/($N$4),"")</f>
        <v/>
      </c>
    </row>
    <row r="11" spans="1:22">
      <c r="A11" s="19"/>
      <c r="B11" s="19"/>
      <c r="C11" s="19"/>
      <c r="D11" s="19"/>
      <c r="E11" s="19"/>
      <c r="F11" s="1272" t="s">
        <v>697</v>
      </c>
      <c r="G11" s="1272"/>
      <c r="H11" s="62">
        <f>IF(H8=0, "XXX", 1.001843-0.002318474*H6-0.000007775*H6^2-0.000000034*H6^3+0.00574*H8+0.00003344*H8^2+0.000000086*H8^3)</f>
        <v>0.9968882718493548</v>
      </c>
      <c r="I11" s="62">
        <f>IF(I8=0, "XXX", 1.001843-0.002318474*I6-0.000007775*I6^2-0.000000034*I6^3+0.00574*I8+0.00003344*I8^2+0.000000086*I8^3)</f>
        <v>1.000875278619878</v>
      </c>
      <c r="J11" s="62">
        <f>IF(J8=0, "XXX", 1.001843-0.002318474*J6-0.000007775*J6^2-0.000000034*J6^3+0.00574*J8+0.00003344*J8^2+0.000000086*J8^3)</f>
        <v>1.0605937940521255</v>
      </c>
      <c r="K11" s="62">
        <f>IF(K8=0, "XXX", 1.001843-0.002318474*K6-0.000007775*K6^2-0.000000034*K6^3+0.00574*K8+0.00003344*K8^2+0.000000086*K8^3)</f>
        <v>1.0107252264860289</v>
      </c>
      <c r="L11" s="19"/>
      <c r="M11" s="137"/>
      <c r="N11" s="239" t="str">
        <f>IFERROR(VLOOKUP(M11,INGREDIENTS!$R$6:$U$151,4,FALSE), "")</f>
        <v/>
      </c>
      <c r="O11" s="137"/>
      <c r="P11" s="138"/>
      <c r="Q11" s="139"/>
      <c r="R11" s="159" t="str">
        <f>IFERROR((VLOOKUP(O11,INGREDIENTS!$AA$6:$AB$14,2,FALSE))*((1.65*(0.000125^($R$4-1))*((1-EXP(-0.04*P11))/4.15))*N11*Q11*1000)/($N$4),"")</f>
        <v/>
      </c>
    </row>
    <row r="12" spans="1:22" ht="18.75">
      <c r="A12" s="19"/>
      <c r="B12" s="1270" t="s">
        <v>603</v>
      </c>
      <c r="C12" s="1271"/>
      <c r="D12" s="19"/>
      <c r="E12" s="19"/>
      <c r="F12" s="1272" t="s">
        <v>698</v>
      </c>
      <c r="G12" s="1272"/>
      <c r="H12" s="60">
        <f>(H5-H7)/(H5-1)</f>
        <v>0.88448429371630699</v>
      </c>
      <c r="I12" s="60">
        <f>(I5-I7)/(I5-1)</f>
        <v>0.86434854198377664</v>
      </c>
      <c r="J12" s="60">
        <f>(J5-J7)/(J5-1)</f>
        <v>0.42857142857142855</v>
      </c>
      <c r="K12" s="60">
        <f>(K5-K7)/(K5-1)</f>
        <v>0.74354397572800413</v>
      </c>
      <c r="L12" s="19"/>
      <c r="M12" s="137"/>
      <c r="N12" s="239" t="str">
        <f>IFERROR(VLOOKUP(M12,INGREDIENTS!$R$6:$U$151,4,FALSE), "")</f>
        <v/>
      </c>
      <c r="O12" s="137"/>
      <c r="P12" s="138"/>
      <c r="Q12" s="139"/>
      <c r="R12" s="159" t="str">
        <f>IFERROR((VLOOKUP(O12,INGREDIENTS!$AA$6:$AB$14,2,FALSE))*((1.65*(0.000125^($R$4-1))*((1-EXP(-0.04*P12))/4.15))*N12*Q12*1000)/($N$4),"")</f>
        <v/>
      </c>
    </row>
    <row r="13" spans="1:22">
      <c r="A13" s="19"/>
      <c r="B13" s="91">
        <v>1</v>
      </c>
      <c r="C13" s="73">
        <f>3.785 *B13</f>
        <v>3.7850000000000001</v>
      </c>
      <c r="D13" s="19"/>
      <c r="E13" s="19"/>
      <c r="F13" s="1272" t="s">
        <v>699</v>
      </c>
      <c r="G13" s="1272"/>
      <c r="H13" s="60">
        <f xml:space="preserve"> ((-676.67 + 1286.4 * H5- 800.47 * H5^ 2+ 190.74 *H5^3)-H14)/(-676.67 + 1286.4 * H5- 800.47 * H5^ 2+ 190.74 *H5^3)</f>
        <v>0.71005273077623821</v>
      </c>
      <c r="I13" s="60">
        <f xml:space="preserve"> ((-676.67 + 1286.4 * I5- 800.47 * I5^ 2+ 190.74 *I5^3)-I14)/(-676.67 + 1286.4 * I5- 800.47 * I5^ 2+ 190.74 *I5^3)</f>
        <v>0.69298807398868068</v>
      </c>
      <c r="J13" s="60">
        <f xml:space="preserve"> ((-676.67 + 1286.4 * J5- 800.47 * J5^ 2+ 190.74 *J5^3)-J14)/(-676.67 + 1286.4 * J5- 800.47 * J5^ 2+ 190.74 *J5^3)</f>
        <v>0.33188935648513251</v>
      </c>
      <c r="K13" s="60">
        <f xml:space="preserve"> ((-676.67 + 1286.4 * K5- 800.47 * K5^ 2+ 190.74 *K5^3)-K14)/(-676.67 + 1286.4 * K5- 800.47 * K5^ 2+ 190.74 *K5^3)</f>
        <v>0.59602801825071861</v>
      </c>
      <c r="L13" s="19"/>
      <c r="M13" s="137"/>
      <c r="N13" s="239" t="str">
        <f>IFERROR(VLOOKUP(M13,INGREDIENTS!$R$6:$U$151,4,FALSE), "")</f>
        <v/>
      </c>
      <c r="O13" s="137"/>
      <c r="P13" s="138"/>
      <c r="Q13" s="139"/>
      <c r="R13" s="159" t="str">
        <f>IFERROR((VLOOKUP(O13,INGREDIENTS!$AA$6:$AB$14,2,FALSE))*((1.65*(0.000125^($R$4-1))*((1-EXP(-0.04*P13))/4.15))*N13*Q13*1000)/($N$4),"")</f>
        <v/>
      </c>
    </row>
    <row r="14" spans="1:22">
      <c r="A14" s="19"/>
      <c r="B14" s="92">
        <v>1</v>
      </c>
      <c r="C14" s="72">
        <f>B14/3.785</f>
        <v>0.26420079260237778</v>
      </c>
      <c r="D14" s="19"/>
      <c r="E14" s="19"/>
      <c r="F14" s="1272" t="s">
        <v>700</v>
      </c>
      <c r="G14" s="1272"/>
      <c r="H14" s="74">
        <f>0.188 * ( -676.67 + 1286.4 *H5- 800.47 * H5^ 2+ 190.74 *H5^3) + 0.8192 * ( -676.67 + 1286.4 *H7- 800.47 * H7^ 2+ 190.74 *H7^3)</f>
        <v>6.8648611334864489</v>
      </c>
      <c r="I14" s="74">
        <f>0.188 * ( -676.67 + 1286.4 *I5- 800.47 * I5^ 2+ 190.74 *I5^3) + 0.8192 * ( -676.67 + 1286.4 *I7- 800.47 * I7^ 2+ 190.74 *I7^3)</f>
        <v>6.863211358906705</v>
      </c>
      <c r="J14" s="74">
        <f>0.188 * ( -676.67 + 1286.4 *J5- 800.47 * J5^ 2+ 190.74 *J5^3) + 0.8192 * ( -676.67 + 1286.4 *J7- 800.47 * J7^ 2+ 190.74 *J7^3)</f>
        <v>11.347591247472137</v>
      </c>
      <c r="K14" s="74">
        <f>0.188 * ( -676.67 + 1286.4 *K5- 800.47 * K5^ 2+ 190.74 *K5^3) + 0.8192 * ( -676.67 + 1286.4 *K7- 800.47 * K7^ 2+ 190.74 *K7^3)</f>
        <v>4.3013430097338077</v>
      </c>
      <c r="L14" s="19"/>
      <c r="M14" s="137"/>
      <c r="N14" s="239" t="str">
        <f>IFERROR(VLOOKUP(M14,INGREDIENTS!$R$6:$U$151,4,FALSE), "")</f>
        <v/>
      </c>
      <c r="O14" s="137"/>
      <c r="P14" s="138"/>
      <c r="Q14" s="139"/>
      <c r="R14" s="159" t="str">
        <f>IFERROR((VLOOKUP(O14,INGREDIENTS!$AA$6:$AB$14,2,FALSE))*((1.65*(0.000125^($R$4-1))*((1-EXP(-0.04*P14))/4.15))*N14*Q14*1000)/($N$4),"")</f>
        <v/>
      </c>
    </row>
    <row r="15" spans="1:22">
      <c r="A15" s="19"/>
      <c r="B15" s="19"/>
      <c r="C15" s="19"/>
      <c r="D15" s="19"/>
      <c r="E15" s="19"/>
      <c r="F15" s="1272" t="s">
        <v>700</v>
      </c>
      <c r="G15" s="1272"/>
      <c r="H15" s="75">
        <f>H14*10*H5</f>
        <v>75.51347246835094</v>
      </c>
      <c r="I15" s="75">
        <f>I14*10*I5</f>
        <v>75.08082869069213</v>
      </c>
      <c r="J15" s="75">
        <f>J14*10*J5</f>
        <v>121.41922634795188</v>
      </c>
      <c r="K15" s="75">
        <f>K14*10*K5</f>
        <v>44.858376935353846</v>
      </c>
      <c r="L15" s="19"/>
      <c r="M15" s="137"/>
      <c r="N15" s="239" t="str">
        <f>IFERROR(VLOOKUP(M15,INGREDIENTS!$R$6:$U$151,4,FALSE), "")</f>
        <v/>
      </c>
      <c r="O15" s="137"/>
      <c r="P15" s="138"/>
      <c r="Q15" s="139"/>
      <c r="R15" s="159" t="str">
        <f>IFERROR((VLOOKUP(O15,INGREDIENTS!$AA$6:$AB$14,2,FALSE))*((1.65*(0.000125^($R$4-1))*((1-EXP(-0.04*P15))/4.15))*N15*Q15*1000)/($N$4),"")</f>
        <v/>
      </c>
      <c r="T15" t="s">
        <v>2094</v>
      </c>
      <c r="U15" t="s">
        <v>2095</v>
      </c>
      <c r="V15" t="s">
        <v>2096</v>
      </c>
    </row>
    <row r="16" spans="1:22" ht="18.75">
      <c r="A16" s="19"/>
      <c r="B16" s="1273" t="s">
        <v>633</v>
      </c>
      <c r="C16" s="1274"/>
      <c r="D16" s="19"/>
      <c r="E16" s="19"/>
      <c r="F16" s="1272" t="s">
        <v>701</v>
      </c>
      <c r="G16" s="1272"/>
      <c r="H16" s="113">
        <f>(76.08 * (H5 -H7) / (1.775 -H5 )) * (H7 / 0.794)</f>
        <v>12.700604222873284</v>
      </c>
      <c r="I16" s="113">
        <f>(76.08 * (I5 -I7) / (1.775 -I5 )) * (I7 / 0.794)</f>
        <v>11.572121379019407</v>
      </c>
      <c r="J16" s="113">
        <f>(76.08 * (J5 -J7) / (1.775 -J5 )) * (J7 / 0.794)</f>
        <v>4.2404844846990768</v>
      </c>
      <c r="K16" s="113">
        <f>(76.08 * (K5 -K7) / (1.775 -K5 )) * (K7 / 0.794)</f>
        <v>4.2200019115911012</v>
      </c>
      <c r="L16" s="19"/>
      <c r="M16" s="137"/>
      <c r="N16" s="239" t="str">
        <f>IFERROR(VLOOKUP(M16,INGREDIENTS!$R$6:$U$151,4,FALSE), "")</f>
        <v/>
      </c>
      <c r="O16" s="137"/>
      <c r="P16" s="138"/>
      <c r="Q16" s="139"/>
      <c r="R16" s="159" t="str">
        <f>IFERROR((VLOOKUP(O16,INGREDIENTS!$AA$6:$AB$14,2,FALSE))*((1.65*(0.000125^($R$4-1))*((1-EXP(-0.04*P16))/4.15))*N16*Q16*1000)/($N$4),"")</f>
        <v/>
      </c>
    </row>
    <row r="17" spans="1:22">
      <c r="A17" s="19"/>
      <c r="B17" s="93">
        <v>1</v>
      </c>
      <c r="C17" s="77">
        <f>B17*453.592</f>
        <v>453.59199999999998</v>
      </c>
      <c r="D17" s="19"/>
      <c r="E17" s="19"/>
      <c r="F17" s="19"/>
      <c r="G17" s="19"/>
      <c r="H17" s="19"/>
      <c r="I17" s="19"/>
      <c r="J17" s="129"/>
      <c r="K17" s="19"/>
      <c r="L17" s="19"/>
      <c r="M17" s="137"/>
      <c r="N17" s="239" t="str">
        <f>IFERROR(VLOOKUP(M17,INGREDIENTS!$R$6:$U$151,4,FALSE), "")</f>
        <v/>
      </c>
      <c r="O17" s="137"/>
      <c r="P17" s="138"/>
      <c r="Q17" s="139"/>
      <c r="R17" s="159" t="str">
        <f>IFERROR((VLOOKUP(O17,INGREDIENTS!$AA$6:$AB$14,2,FALSE))*((1.65*(0.000125^($R$4-1))*((1-EXP(-0.04*P17))/4.15))*N17*Q17*1000)/($N$4),"")</f>
        <v/>
      </c>
    </row>
    <row r="18" spans="1:22" ht="18.75">
      <c r="A18" s="19"/>
      <c r="B18" s="94">
        <v>453</v>
      </c>
      <c r="C18" s="76">
        <f>B18/453.592</f>
        <v>0.99869486234325122</v>
      </c>
      <c r="D18" s="19"/>
      <c r="E18" s="19"/>
      <c r="F18" s="19"/>
      <c r="G18" s="819" t="s">
        <v>675</v>
      </c>
      <c r="H18" s="820"/>
      <c r="I18" s="821"/>
      <c r="J18" s="127"/>
      <c r="K18" s="127"/>
      <c r="L18" s="19"/>
      <c r="M18" s="52" t="s">
        <v>656</v>
      </c>
      <c r="N18" s="52"/>
      <c r="O18" s="52"/>
      <c r="P18" s="53">
        <f>P7</f>
        <v>60</v>
      </c>
      <c r="Q18" s="54">
        <f>SUM(Q7:Q17)</f>
        <v>100</v>
      </c>
      <c r="R18" s="51">
        <f>SUM(R7:R17)</f>
        <v>21.755816377092302</v>
      </c>
    </row>
    <row r="19" spans="1:22">
      <c r="A19" s="19"/>
      <c r="B19" s="95">
        <v>1</v>
      </c>
      <c r="C19" s="78">
        <f>B19*28.35</f>
        <v>28.35</v>
      </c>
      <c r="D19" s="19"/>
      <c r="E19" s="25"/>
      <c r="F19" s="19"/>
      <c r="G19" s="829" t="s">
        <v>676</v>
      </c>
      <c r="H19" s="830"/>
      <c r="I19" s="104">
        <v>1.04</v>
      </c>
      <c r="J19" s="127"/>
      <c r="K19" s="127"/>
      <c r="L19" s="19"/>
      <c r="M19" s="19"/>
      <c r="N19" s="19"/>
      <c r="O19" s="19"/>
      <c r="P19" s="19"/>
      <c r="Q19" s="19"/>
      <c r="R19" s="19"/>
    </row>
    <row r="20" spans="1:22">
      <c r="A20" s="19"/>
      <c r="B20" s="94">
        <v>28</v>
      </c>
      <c r="C20" s="79">
        <f>B20/28.35</f>
        <v>0.98765432098765427</v>
      </c>
      <c r="D20" s="19"/>
      <c r="E20" s="25"/>
      <c r="F20" s="25"/>
      <c r="G20" s="829" t="s">
        <v>677</v>
      </c>
      <c r="H20" s="830"/>
      <c r="I20" s="115">
        <v>20</v>
      </c>
      <c r="J20" s="127"/>
      <c r="K20" s="127"/>
      <c r="L20" s="19"/>
      <c r="M20" s="19"/>
      <c r="N20" s="19"/>
      <c r="O20" s="19"/>
      <c r="P20" s="19"/>
      <c r="Q20" s="19"/>
      <c r="R20" s="19"/>
    </row>
    <row r="21" spans="1:22" ht="18.75">
      <c r="A21" s="19"/>
      <c r="B21" s="19"/>
      <c r="C21" s="19"/>
      <c r="D21" s="19"/>
      <c r="E21" s="25"/>
      <c r="F21" s="19"/>
      <c r="G21" s="829" t="s">
        <v>678</v>
      </c>
      <c r="H21" s="830"/>
      <c r="I21" s="104">
        <v>1.0449999999999999</v>
      </c>
      <c r="J21" s="127"/>
      <c r="K21" s="127"/>
      <c r="L21" s="19"/>
      <c r="M21" s="1265" t="s">
        <v>702</v>
      </c>
      <c r="N21" s="1266"/>
      <c r="O21" s="1267"/>
      <c r="P21" s="122" t="s">
        <v>703</v>
      </c>
      <c r="Q21" s="1268" t="s">
        <v>704</v>
      </c>
      <c r="R21" s="1269"/>
    </row>
    <row r="22" spans="1:22" ht="18.75">
      <c r="A22" s="19"/>
      <c r="B22" s="1262" t="s">
        <v>705</v>
      </c>
      <c r="C22" s="1263"/>
      <c r="D22" s="1264"/>
      <c r="E22" s="25"/>
      <c r="F22" s="19"/>
      <c r="G22" s="829" t="s">
        <v>679</v>
      </c>
      <c r="H22" s="830"/>
      <c r="I22" s="50" t="s">
        <v>680</v>
      </c>
      <c r="J22" s="128"/>
      <c r="K22" s="127"/>
      <c r="L22" s="25"/>
      <c r="M22" s="1257" t="s">
        <v>706</v>
      </c>
      <c r="N22" s="1257" t="s">
        <v>603</v>
      </c>
      <c r="O22" s="1257" t="s">
        <v>631</v>
      </c>
      <c r="P22" s="1257" t="s">
        <v>707</v>
      </c>
      <c r="Q22" s="1258" t="s">
        <v>708</v>
      </c>
      <c r="R22" s="1259"/>
    </row>
    <row r="23" spans="1:22">
      <c r="A23" s="19"/>
      <c r="B23" s="96">
        <v>22.6</v>
      </c>
      <c r="C23" s="82">
        <f>32+B23*9/5</f>
        <v>72.680000000000007</v>
      </c>
      <c r="D23" s="83">
        <f>B23+273.15</f>
        <v>295.75</v>
      </c>
      <c r="E23" s="19"/>
      <c r="F23" s="19"/>
      <c r="G23" s="829" t="s">
        <v>681</v>
      </c>
      <c r="H23" s="830"/>
      <c r="I23" s="131">
        <f>IF(I22="","",IF(I22="Sucre",(I21-I19)*1000*2.57452,IF(I22="DMS",(I21-I19)*1000*2.66,IF(I22="LMS",(I21-I19)*1000*3.24,IF(I22="Eau",1000*((I19-1)/(I21-1)*I20-I20)/I20)))))</f>
        <v>12.872599999999727</v>
      </c>
      <c r="J23" s="127"/>
      <c r="K23" s="127"/>
      <c r="L23" s="19"/>
      <c r="M23" s="1257"/>
      <c r="N23" s="1257"/>
      <c r="O23" s="1257"/>
      <c r="P23" s="1257"/>
      <c r="Q23" s="1260"/>
      <c r="R23" s="1261"/>
    </row>
    <row r="24" spans="1:22">
      <c r="A24" s="19"/>
      <c r="B24" s="97">
        <v>72.680000000000007</v>
      </c>
      <c r="C24" s="81">
        <f>(B24-32)*5/9</f>
        <v>22.600000000000005</v>
      </c>
      <c r="D24" s="83">
        <f>C24+273.15</f>
        <v>295.75</v>
      </c>
      <c r="E24" s="19"/>
      <c r="F24" s="19"/>
      <c r="G24" s="829" t="s">
        <v>681</v>
      </c>
      <c r="H24" s="830"/>
      <c r="I24" s="130">
        <f>I23*I20</f>
        <v>257.45199999999454</v>
      </c>
      <c r="J24" s="127"/>
      <c r="K24" s="127"/>
      <c r="L24" s="19"/>
      <c r="M24" s="114">
        <v>50</v>
      </c>
      <c r="N24" s="123">
        <v>2</v>
      </c>
      <c r="O24" s="110">
        <v>1.04</v>
      </c>
      <c r="P24" s="80">
        <f>N24*100*(O24-1)/0.0376</f>
        <v>212.7659574468087</v>
      </c>
      <c r="Q24" s="1241">
        <f>IF($Q$21="White (simple)",IF(((12.54793776 * (M24/N24)^-0.4594858324) - 0.9994994906)*M24+M24&gt;200*N24,200*N24,((12.54793776 * (M24/N24)^-0.4594858324) - 0.9994994906)*M24+M24),IF($Q$21="Braukaiser (agitateur) ",IF((M24/P24)&lt;1.4,M24+P24*1.4,M24+(2.33-0.67*(M24/P24)))))</f>
        <v>347.87234042553217</v>
      </c>
      <c r="R24" s="1242"/>
    </row>
    <row r="25" spans="1:22">
      <c r="A25" s="19"/>
      <c r="B25" s="98">
        <v>295.75</v>
      </c>
      <c r="C25" s="81">
        <f>B25-273.15</f>
        <v>22.600000000000023</v>
      </c>
      <c r="D25" s="82">
        <f>32+C25*9/5</f>
        <v>72.680000000000035</v>
      </c>
      <c r="E25" s="19"/>
      <c r="F25" s="19"/>
      <c r="G25" s="19"/>
      <c r="H25" s="19"/>
      <c r="I25" s="19"/>
      <c r="J25" s="127"/>
      <c r="K25" s="127"/>
      <c r="L25" s="19"/>
      <c r="M25" s="114">
        <v>100</v>
      </c>
      <c r="N25" s="123">
        <v>2</v>
      </c>
      <c r="O25" s="110">
        <v>1.04</v>
      </c>
      <c r="P25" s="80">
        <f>N25*100*(O25-1)/0.0376</f>
        <v>212.7659574468087</v>
      </c>
      <c r="Q25" s="1241">
        <f>IF($Q$21="White (simple)",IF(((12.54793776 * (M25/N25)^-0.4594858324) - 0.9994994906)*M25+M25&gt;200*N25,200*N25,((12.54793776 * (M25/N25)^-0.4594858324) - 0.9994994906)*M25+M25),IF($Q$21="Braukaiser (agitateur) ",IF((M25/P25)&lt;1.4,M25+P25*1.4,M25+(2.33-0.67*(M25/P25)))))</f>
        <v>397.87234042553217</v>
      </c>
      <c r="R25" s="1242"/>
      <c r="T25" s="1236"/>
      <c r="U25" s="1236"/>
      <c r="V25" s="28"/>
    </row>
    <row r="26" spans="1:22">
      <c r="A26" s="19"/>
      <c r="B26" s="19"/>
      <c r="C26" s="19"/>
      <c r="D26" s="19"/>
      <c r="E26" s="19"/>
      <c r="F26" s="19"/>
      <c r="G26" s="19"/>
      <c r="H26" s="19"/>
      <c r="I26" s="19"/>
      <c r="J26" s="19"/>
      <c r="K26" s="127"/>
      <c r="L26" s="19"/>
      <c r="M26" s="114">
        <v>75</v>
      </c>
      <c r="N26" s="123">
        <v>2</v>
      </c>
      <c r="O26" s="110">
        <v>1.04</v>
      </c>
      <c r="P26" s="80">
        <f>N26*100*(O26-1)/0.0376</f>
        <v>212.7659574468087</v>
      </c>
      <c r="Q26" s="1241">
        <f>IF($Q$21="White (simple)",IF(((12.54793776 * (M26/N26)^-0.4594858324) - 0.9994994906)*M26+M26&gt;200*N26,200*N26,((12.54793776 * (M26/N26)^-0.4594858324) - 0.9994994906)*M26+M26),IF($Q$21="Braukaiser (agitateur) ",IF((M26/P26)&lt;1.4,M26+P26*1.4,M26+(2.33-0.67*(M26/P26)))))</f>
        <v>372.87234042553217</v>
      </c>
      <c r="R26" s="1242"/>
      <c r="T26" s="1236"/>
      <c r="U26" s="1236"/>
      <c r="V26" s="247"/>
    </row>
    <row r="27" spans="1:22" ht="18.75">
      <c r="A27" s="19"/>
      <c r="B27" s="1251" t="s">
        <v>608</v>
      </c>
      <c r="C27" s="1252"/>
      <c r="D27" s="1253"/>
      <c r="E27" s="19"/>
      <c r="F27" s="19"/>
      <c r="G27" s="1254" t="s">
        <v>709</v>
      </c>
      <c r="H27" s="1255"/>
      <c r="I27" s="1256"/>
      <c r="J27" s="127"/>
      <c r="K27" s="127"/>
      <c r="L27" s="19"/>
      <c r="M27" s="114">
        <v>15</v>
      </c>
      <c r="N27" s="123">
        <v>0.5</v>
      </c>
      <c r="O27" s="110">
        <v>1.04</v>
      </c>
      <c r="P27" s="80">
        <f>N27*100*(O27-1)/0.0376</f>
        <v>53.191489361702175</v>
      </c>
      <c r="Q27" s="1241">
        <f>IF($Q$21="White (simple)",IF(((12.54793776 * (M27/N27)^-0.4594858324) - 0.9994994906)*M27+M27&gt;200*N27,200*N27,((12.54793776 * (M27/N27)^-0.4594858324) - 0.9994994906)*M27+M27),IF($Q$21="Braukaiser (agitateur) ",IF((M27/P27)&lt;1.4,M27+P27*1.4,M27+(2.33-0.67*(M27/P27)))))</f>
        <v>89.468085106383043</v>
      </c>
      <c r="R27" s="1242"/>
      <c r="T27" s="1236"/>
      <c r="U27" s="1236"/>
      <c r="V27" s="248"/>
    </row>
    <row r="28" spans="1:22" ht="15.75" thickBot="1">
      <c r="A28" s="19"/>
      <c r="B28" s="1243" t="s">
        <v>710</v>
      </c>
      <c r="C28" s="99">
        <v>1</v>
      </c>
      <c r="D28" s="87">
        <f>C28*1.97</f>
        <v>1.97</v>
      </c>
      <c r="E28" s="19"/>
      <c r="F28" s="19"/>
      <c r="G28" s="84" t="s">
        <v>604</v>
      </c>
      <c r="H28" s="84" t="s">
        <v>603</v>
      </c>
      <c r="I28" s="84" t="s">
        <v>680</v>
      </c>
      <c r="J28" s="127"/>
      <c r="K28" s="127"/>
      <c r="L28" s="19"/>
      <c r="M28" s="19"/>
      <c r="N28" s="19"/>
      <c r="O28" s="19"/>
      <c r="P28" s="19"/>
      <c r="Q28" s="19"/>
      <c r="R28" s="19"/>
    </row>
    <row r="29" spans="1:22" ht="18.75">
      <c r="A29" s="19"/>
      <c r="B29" s="1244"/>
      <c r="C29" s="100">
        <v>2</v>
      </c>
      <c r="D29" s="86">
        <f>C29/1.97</f>
        <v>1.015228426395939</v>
      </c>
      <c r="E29" s="19"/>
      <c r="F29" s="19"/>
      <c r="G29" s="102">
        <v>1.06</v>
      </c>
      <c r="H29" s="103">
        <v>20</v>
      </c>
      <c r="I29" s="85">
        <f>H29*(G29-1)*1000*2.57452</f>
        <v>3089.4240000000032</v>
      </c>
      <c r="J29" s="127"/>
      <c r="K29" s="19"/>
      <c r="L29" s="19"/>
      <c r="M29" s="249" t="s">
        <v>738</v>
      </c>
      <c r="N29" s="250"/>
      <c r="O29" s="251"/>
      <c r="P29" s="252"/>
      <c r="Q29" s="19"/>
      <c r="R29" s="19"/>
    </row>
    <row r="30" spans="1:22">
      <c r="A30" s="19"/>
      <c r="B30" s="1243" t="s">
        <v>711</v>
      </c>
      <c r="C30" s="101">
        <v>1</v>
      </c>
      <c r="D30" s="87">
        <f>2.6686 * C30 - 1.497</f>
        <v>1.1716</v>
      </c>
      <c r="E30" s="19"/>
      <c r="F30" s="19"/>
      <c r="G30" s="19"/>
      <c r="H30" s="19"/>
      <c r="I30" s="19"/>
      <c r="J30" s="19"/>
      <c r="K30" s="19"/>
      <c r="L30" s="19"/>
      <c r="M30" s="1237" t="s">
        <v>740</v>
      </c>
      <c r="N30" s="1238"/>
      <c r="O30" s="246">
        <v>1064</v>
      </c>
      <c r="P30" s="253"/>
      <c r="Q30" s="19"/>
      <c r="R30" s="19"/>
    </row>
    <row r="31" spans="1:22" ht="18.75">
      <c r="A31" s="19"/>
      <c r="B31" s="1245"/>
      <c r="C31" s="101">
        <v>40</v>
      </c>
      <c r="D31" s="86">
        <f>1.3546 *C31 - 0.76</f>
        <v>53.423999999999999</v>
      </c>
      <c r="E31" s="19"/>
      <c r="F31" s="19"/>
      <c r="G31" s="1246" t="s">
        <v>712</v>
      </c>
      <c r="H31" s="1247"/>
      <c r="I31" s="1247"/>
      <c r="J31" s="1248"/>
      <c r="K31" s="19"/>
      <c r="L31" s="19"/>
      <c r="M31" s="1237" t="s">
        <v>705</v>
      </c>
      <c r="N31" s="1238"/>
      <c r="O31" s="245">
        <v>12.2</v>
      </c>
      <c r="P31" s="253"/>
      <c r="Q31" s="19"/>
      <c r="R31" s="19"/>
    </row>
    <row r="32" spans="1:22" ht="15.75" thickBot="1">
      <c r="A32" s="19"/>
      <c r="B32" s="1245"/>
      <c r="C32" s="100">
        <v>1.17</v>
      </c>
      <c r="D32" s="124">
        <f>(C32+1.479)/2.6686</f>
        <v>0.99265532488945507</v>
      </c>
      <c r="E32" s="19"/>
      <c r="F32" s="19"/>
      <c r="G32" s="1249" t="s">
        <v>713</v>
      </c>
      <c r="H32" s="1250"/>
      <c r="I32" s="126">
        <v>0</v>
      </c>
      <c r="J32" s="125">
        <f>5.22-0.00504*(I32+1.479)/2.6686</f>
        <v>5.2172067151315291</v>
      </c>
      <c r="K32" s="19"/>
      <c r="L32" s="19"/>
      <c r="M32" s="1239" t="s">
        <v>739</v>
      </c>
      <c r="N32" s="1240"/>
      <c r="O32" s="254">
        <f>O30+0.00352871*(O31-20)^2+0.225225*(O31-20)</f>
        <v>1062.4579317163998</v>
      </c>
      <c r="P32" s="255"/>
      <c r="Q32" s="19"/>
      <c r="R32" s="19"/>
    </row>
    <row r="33" spans="1:18">
      <c r="A33" s="19"/>
      <c r="B33" s="1244"/>
      <c r="C33" s="99">
        <v>53.42</v>
      </c>
      <c r="D33" s="124">
        <f>(C33+0.76)/1.3546</f>
        <v>39.997047098774544</v>
      </c>
      <c r="E33" s="19"/>
      <c r="F33" s="19"/>
      <c r="G33" s="19"/>
      <c r="H33" s="19"/>
      <c r="I33" s="19"/>
      <c r="J33" s="19"/>
      <c r="K33" s="19"/>
      <c r="L33" s="19"/>
      <c r="M33" s="19"/>
      <c r="N33" s="19"/>
      <c r="O33" s="19"/>
      <c r="P33" s="19"/>
      <c r="Q33" s="19"/>
      <c r="R33" s="19"/>
    </row>
    <row r="45" spans="1:18">
      <c r="H45" s="235"/>
    </row>
  </sheetData>
  <mergeCells count="51">
    <mergeCell ref="F10:G10"/>
    <mergeCell ref="F11:G11"/>
    <mergeCell ref="A1:R1"/>
    <mergeCell ref="B7:D7"/>
    <mergeCell ref="F3:K3"/>
    <mergeCell ref="M3:R3"/>
    <mergeCell ref="N4:O4"/>
    <mergeCell ref="P4:Q4"/>
    <mergeCell ref="F5:G5"/>
    <mergeCell ref="F6:G6"/>
    <mergeCell ref="F7:G7"/>
    <mergeCell ref="F8:G8"/>
    <mergeCell ref="F9:G9"/>
    <mergeCell ref="B12:C12"/>
    <mergeCell ref="F12:G12"/>
    <mergeCell ref="F13:G13"/>
    <mergeCell ref="F14:G14"/>
    <mergeCell ref="B16:C16"/>
    <mergeCell ref="F16:G16"/>
    <mergeCell ref="F15:G15"/>
    <mergeCell ref="G18:I18"/>
    <mergeCell ref="G19:H19"/>
    <mergeCell ref="G20:H20"/>
    <mergeCell ref="M21:O21"/>
    <mergeCell ref="Q21:R21"/>
    <mergeCell ref="B22:D22"/>
    <mergeCell ref="G22:H22"/>
    <mergeCell ref="M22:M23"/>
    <mergeCell ref="N22:N23"/>
    <mergeCell ref="O22:O23"/>
    <mergeCell ref="P22:P23"/>
    <mergeCell ref="Q22:R23"/>
    <mergeCell ref="G23:H23"/>
    <mergeCell ref="G21:H21"/>
    <mergeCell ref="Q24:R24"/>
    <mergeCell ref="B28:B29"/>
    <mergeCell ref="B30:B33"/>
    <mergeCell ref="G31:J31"/>
    <mergeCell ref="G32:H32"/>
    <mergeCell ref="G24:H24"/>
    <mergeCell ref="B27:D27"/>
    <mergeCell ref="G27:I27"/>
    <mergeCell ref="T27:U27"/>
    <mergeCell ref="M30:N30"/>
    <mergeCell ref="M31:N31"/>
    <mergeCell ref="M32:N32"/>
    <mergeCell ref="T25:U25"/>
    <mergeCell ref="T26:U26"/>
    <mergeCell ref="Q25:R25"/>
    <mergeCell ref="Q26:R26"/>
    <mergeCell ref="Q27:R27"/>
  </mergeCells>
  <dataValidations count="2">
    <dataValidation type="list" allowBlank="1" showInputMessage="1" showErrorMessage="1" sqref="Q21" xr:uid="{67341D49-494D-4B0F-B495-210F9330B43B}">
      <formula1>"Braukaiser (agitateur) , White (simple)"</formula1>
    </dataValidation>
    <dataValidation type="list" allowBlank="1" showInputMessage="1" showErrorMessage="1" sqref="I22 V25" xr:uid="{D3B3DF0E-E047-4D31-AB9F-EEC5C0AD9837}">
      <formula1>"Sucre,DMS,LMS,Eau"</formula1>
    </dataValidation>
  </dataValidations>
  <pageMargins left="0.7" right="0.7" top="0.75" bottom="0.75" header="0.3" footer="0.3"/>
  <drawing r:id="rId1"/>
  <extLst>
    <ext xmlns:x14="http://schemas.microsoft.com/office/spreadsheetml/2009/9/main" uri="{CCE6A557-97BC-4b89-ADB6-D9C93CAAB3DF}">
      <x14:dataValidations xmlns:xm="http://schemas.microsoft.com/office/excel/2006/main" count="2">
        <x14:dataValidation type="list" allowBlank="1" showInputMessage="1" showErrorMessage="1" xr:uid="{2D3316CC-22EC-4DFD-BA64-D67B48961187}">
          <x14:formula1>
            <xm:f>INGREDIENTS!$R$6:$R$151</xm:f>
          </x14:formula1>
          <xm:sqref>M7:M17</xm:sqref>
        </x14:dataValidation>
        <x14:dataValidation type="list" allowBlank="1" showInputMessage="1" showErrorMessage="1" xr:uid="{CDF2DBF5-4397-4DC8-A460-1BAD1199F081}">
          <x14:formula1>
            <xm:f>INGREDIENTS!$AA$6:$AA$14</xm:f>
          </x14:formula1>
          <xm:sqref>O7:O17</xm:sqref>
        </x14:dataValidation>
      </x14:dataValidations>
    </ext>
  </extLst>
</worksheet>
</file>

<file path=docMetadata/LabelInfo.xml><?xml version="1.0" encoding="utf-8"?>
<clbl:labelList xmlns:clbl="http://schemas.microsoft.com/office/2020/mipLabelMetadata">
  <clbl:label id="{9f5c8052-b1ea-40d1-8cd5-ea0c204ca84f}" enabled="1" method="Standard" siteId="{19e51c11-d919-4a98-899d-9b9dc33f4e04}"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Feuilles de calcul</vt:lpstr>
      </vt:variant>
      <vt:variant>
        <vt:i4>15</vt:i4>
      </vt:variant>
      <vt:variant>
        <vt:lpstr>Plages nommées</vt:lpstr>
      </vt:variant>
      <vt:variant>
        <vt:i4>5</vt:i4>
      </vt:variant>
    </vt:vector>
  </HeadingPairs>
  <TitlesOfParts>
    <vt:vector size="20" baseType="lpstr">
      <vt:lpstr>HOME PAGE</vt:lpstr>
      <vt:lpstr>SMASH</vt:lpstr>
      <vt:lpstr>FAUVE</vt:lpstr>
      <vt:lpstr>ChouffLeurre</vt:lpstr>
      <vt:lpstr>HOPI NEW YEAR</vt:lpstr>
      <vt:lpstr>WEDDING BREW</vt:lpstr>
      <vt:lpstr>May the FAUVE</vt:lpstr>
      <vt:lpstr>A NEW HOP</vt:lpstr>
      <vt:lpstr>TYTYMUT</vt:lpstr>
      <vt:lpstr>CHAUVIN</vt:lpstr>
      <vt:lpstr>DUVEL 40ans</vt:lpstr>
      <vt:lpstr>Carrot Wheat beer</vt:lpstr>
      <vt:lpstr>INGREDIENTS</vt:lpstr>
      <vt:lpstr>STYLES</vt:lpstr>
      <vt:lpstr>Convertisseur</vt:lpstr>
      <vt:lpstr>'A NEW HOP'!Zone_d_impression</vt:lpstr>
      <vt:lpstr>'Carrot Wheat beer'!Zone_d_impression</vt:lpstr>
      <vt:lpstr>CHAUVIN!Zone_d_impression</vt:lpstr>
      <vt:lpstr>'DUVEL 40ans'!Zone_d_impression</vt:lpstr>
      <vt:lpstr>TYTYMUT!Zone_d_impression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David MELE</dc:creator>
  <cp:lastModifiedBy>David MELE</cp:lastModifiedBy>
  <cp:lastPrinted>2026-01-22T10:30:37Z</cp:lastPrinted>
  <dcterms:created xsi:type="dcterms:W3CDTF">2015-06-05T18:17:20Z</dcterms:created>
  <dcterms:modified xsi:type="dcterms:W3CDTF">2026-02-12T15:41:29Z</dcterms:modified>
</cp:coreProperties>
</file>